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ityofsyracuseny.sharepoint.com/sites/AuditDepartment/Shared Documents/6 - City Budgets &amp; Charter/2026-27/Final Workbook/"/>
    </mc:Choice>
  </mc:AlternateContent>
  <xr:revisionPtr revIDLastSave="0" documentId="8_{4AC13317-0143-45E6-B8FB-6D000F39FDBD}" xr6:coauthVersionLast="47" xr6:coauthVersionMax="47" xr10:uidLastSave="{00000000-0000-0000-0000-000000000000}"/>
  <bookViews>
    <workbookView xWindow="-120" yWindow="-120" windowWidth="29040" windowHeight="15720" firstSheet="1" activeTab="1" xr2:uid="{AD35E1EA-5833-41BE-B006-A4608E8A2F46}"/>
  </bookViews>
  <sheets>
    <sheet name="Instructions &amp; Notes" sheetId="12" r:id="rId1"/>
    <sheet name="General Fund" sheetId="5" r:id="rId2"/>
    <sheet name="Water Fund" sheetId="3" r:id="rId3"/>
    <sheet name="Sewer Fund" sheetId="4" r:id="rId4"/>
    <sheet name="Sidewalk Fund" sheetId="1" r:id="rId5"/>
    <sheet name="Crouse Marshall Special" sheetId="13" r:id="rId6"/>
    <sheet name="Downtown Special" sheetId="14" r:id="rId7"/>
    <sheet name="Debt Service" sheetId="15" r:id="rId8"/>
    <sheet name="City Rates" sheetId="11" r:id="rId9"/>
  </sheets>
  <definedNames>
    <definedName name="_xlnm._FilterDatabase" localSheetId="1" hidden="1">'General Fund'!$A$1:$O$906</definedName>
    <definedName name="_xlnm._FilterDatabase" localSheetId="2" hidden="1">'Water Fund'!$A$1:$N$1</definedName>
    <definedName name="_xlnm.Print_Area" localSheetId="8">'City Rates'!$B$1:$I$19</definedName>
    <definedName name="_xlnm.Print_Area" localSheetId="1">'General Fund'!$A$1:$N$906</definedName>
    <definedName name="_xlnm.Print_Area" localSheetId="3">'Sewer Fund'!$A$1:$L$42</definedName>
    <definedName name="_xlnm.Print_Area" localSheetId="4">'Sidewalk Fund'!$A$1:$L$22</definedName>
    <definedName name="_xlnm.Print_Area" localSheetId="2">'Water Fund'!$A$1:$M$120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4" l="1"/>
  <c r="H19" i="14"/>
  <c r="N2" i="5"/>
  <c r="L2" i="5"/>
  <c r="I2" i="5"/>
  <c r="J2" i="5"/>
  <c r="H2" i="5"/>
  <c r="G2" i="5"/>
  <c r="H3" i="5"/>
  <c r="I3" i="5"/>
  <c r="J3" i="5"/>
  <c r="K3" i="5"/>
  <c r="L3" i="5"/>
  <c r="M3" i="5"/>
  <c r="N3" i="5"/>
  <c r="G3" i="5"/>
  <c r="L5" i="5"/>
  <c r="M5" i="5"/>
  <c r="N5" i="5"/>
  <c r="H5" i="5"/>
  <c r="I5" i="5"/>
  <c r="J5" i="5"/>
  <c r="K5" i="5"/>
  <c r="G5" i="5"/>
  <c r="L19" i="5"/>
  <c r="M19" i="5"/>
  <c r="N19" i="5"/>
  <c r="H19" i="5"/>
  <c r="I19" i="5"/>
  <c r="J19" i="5"/>
  <c r="K19" i="5"/>
  <c r="G19" i="5"/>
  <c r="K29" i="5"/>
  <c r="L29" i="5"/>
  <c r="N29" i="5"/>
  <c r="H29" i="5"/>
  <c r="I29" i="5"/>
  <c r="J29" i="5"/>
  <c r="G29" i="5"/>
  <c r="H30" i="5"/>
  <c r="I30" i="5"/>
  <c r="J30" i="5"/>
  <c r="K30" i="5"/>
  <c r="L30" i="5"/>
  <c r="M30" i="5"/>
  <c r="N30" i="5"/>
  <c r="G30" i="5"/>
  <c r="N52" i="5"/>
  <c r="M52" i="5"/>
  <c r="L52" i="5"/>
  <c r="K52" i="5"/>
  <c r="J52" i="5"/>
  <c r="I52" i="5"/>
  <c r="H52" i="5"/>
  <c r="G52" i="5"/>
  <c r="H54" i="5"/>
  <c r="I54" i="5"/>
  <c r="J54" i="5"/>
  <c r="K54" i="5"/>
  <c r="L54" i="5"/>
  <c r="M54" i="5"/>
  <c r="M29" i="5" s="1"/>
  <c r="M2" i="5" s="1"/>
  <c r="N54" i="5"/>
  <c r="G54" i="5"/>
  <c r="H70" i="5"/>
  <c r="I70" i="5"/>
  <c r="J70" i="5"/>
  <c r="K70" i="5"/>
  <c r="L70" i="5"/>
  <c r="M70" i="5"/>
  <c r="N70" i="5"/>
  <c r="G70" i="5"/>
  <c r="H77" i="5"/>
  <c r="I77" i="5"/>
  <c r="J77" i="5"/>
  <c r="K77" i="5"/>
  <c r="L77" i="5"/>
  <c r="M77" i="5"/>
  <c r="N77" i="5"/>
  <c r="G77" i="5"/>
  <c r="H82" i="5"/>
  <c r="I82" i="5"/>
  <c r="J82" i="5"/>
  <c r="K82" i="5"/>
  <c r="L82" i="5"/>
  <c r="M82" i="5"/>
  <c r="N82" i="5"/>
  <c r="G82" i="5"/>
  <c r="L91" i="5"/>
  <c r="M91" i="5"/>
  <c r="N91" i="5"/>
  <c r="H91" i="5"/>
  <c r="I91" i="5"/>
  <c r="J91" i="5"/>
  <c r="K91" i="5"/>
  <c r="G91" i="5"/>
  <c r="N94" i="5"/>
  <c r="M94" i="5"/>
  <c r="L94" i="5"/>
  <c r="K94" i="5"/>
  <c r="H94" i="5"/>
  <c r="I94" i="5"/>
  <c r="J94" i="5"/>
  <c r="G94" i="5"/>
  <c r="H118" i="5"/>
  <c r="I118" i="5"/>
  <c r="J118" i="5"/>
  <c r="K118" i="5"/>
  <c r="L118" i="5"/>
  <c r="M118" i="5"/>
  <c r="N118" i="5"/>
  <c r="G118" i="5"/>
  <c r="H121" i="5"/>
  <c r="I121" i="5"/>
  <c r="J121" i="5"/>
  <c r="K121" i="5"/>
  <c r="K2" i="5" s="1"/>
  <c r="L121" i="5"/>
  <c r="M121" i="5"/>
  <c r="N121" i="5"/>
  <c r="G121" i="5"/>
  <c r="H127" i="5"/>
  <c r="I127" i="5"/>
  <c r="J127" i="5"/>
  <c r="K127" i="5"/>
  <c r="L127" i="5"/>
  <c r="M127" i="5"/>
  <c r="N127" i="5"/>
  <c r="G127" i="5"/>
  <c r="H130" i="5"/>
  <c r="I130" i="5"/>
  <c r="J130" i="5"/>
  <c r="K130" i="5"/>
  <c r="L130" i="5"/>
  <c r="M130" i="5"/>
  <c r="N130" i="5"/>
  <c r="G130" i="5"/>
  <c r="H138" i="5"/>
  <c r="I138" i="5"/>
  <c r="J138" i="5"/>
  <c r="K138" i="5"/>
  <c r="L138" i="5"/>
  <c r="M138" i="5"/>
  <c r="N138" i="5"/>
  <c r="G138" i="5"/>
  <c r="H140" i="5"/>
  <c r="I140" i="5"/>
  <c r="J140" i="5"/>
  <c r="K140" i="5"/>
  <c r="L140" i="5"/>
  <c r="M140" i="5"/>
  <c r="N140" i="5"/>
  <c r="G140" i="5"/>
  <c r="H152" i="5"/>
  <c r="I152" i="5"/>
  <c r="J152" i="5"/>
  <c r="K152" i="5"/>
  <c r="L152" i="5"/>
  <c r="M152" i="5"/>
  <c r="N152" i="5"/>
  <c r="G152" i="5"/>
  <c r="N155" i="5"/>
  <c r="M155" i="5"/>
  <c r="L155" i="5"/>
  <c r="I155" i="5"/>
  <c r="J155" i="5"/>
  <c r="K155" i="5"/>
  <c r="H155" i="5"/>
  <c r="G155" i="5"/>
  <c r="M841" i="5"/>
  <c r="L250" i="5"/>
  <c r="N156" i="5"/>
  <c r="M156" i="5"/>
  <c r="J156" i="5"/>
  <c r="I156" i="5"/>
  <c r="H156" i="5"/>
  <c r="G156" i="5"/>
  <c r="H157" i="5"/>
  <c r="I157" i="5"/>
  <c r="J157" i="5"/>
  <c r="K157" i="5"/>
  <c r="L157" i="5"/>
  <c r="M157" i="5"/>
  <c r="N157" i="5"/>
  <c r="G157" i="5"/>
  <c r="H158" i="5"/>
  <c r="I158" i="5"/>
  <c r="J158" i="5"/>
  <c r="K158" i="5"/>
  <c r="L158" i="5"/>
  <c r="M158" i="5"/>
  <c r="N158" i="5"/>
  <c r="G158" i="5"/>
  <c r="H159" i="5"/>
  <c r="I159" i="5"/>
  <c r="J159" i="5"/>
  <c r="K159" i="5"/>
  <c r="L159" i="5"/>
  <c r="M159" i="5"/>
  <c r="N159" i="5"/>
  <c r="G159" i="5"/>
  <c r="H162" i="5"/>
  <c r="I162" i="5"/>
  <c r="J162" i="5"/>
  <c r="K162" i="5"/>
  <c r="L162" i="5"/>
  <c r="M162" i="5"/>
  <c r="N162" i="5"/>
  <c r="G162" i="5"/>
  <c r="L164" i="5"/>
  <c r="M164" i="5"/>
  <c r="N164" i="5"/>
  <c r="H164" i="5"/>
  <c r="I164" i="5"/>
  <c r="J164" i="5"/>
  <c r="K164" i="5"/>
  <c r="G164" i="5"/>
  <c r="H169" i="5"/>
  <c r="I169" i="5"/>
  <c r="J169" i="5"/>
  <c r="K169" i="5"/>
  <c r="L169" i="5"/>
  <c r="M169" i="5"/>
  <c r="N169" i="5"/>
  <c r="G169" i="5"/>
  <c r="L170" i="5"/>
  <c r="M170" i="5"/>
  <c r="N170" i="5"/>
  <c r="H170" i="5"/>
  <c r="I170" i="5"/>
  <c r="J170" i="5"/>
  <c r="K170" i="5"/>
  <c r="G170" i="5"/>
  <c r="H171" i="5"/>
  <c r="I171" i="5"/>
  <c r="J171" i="5"/>
  <c r="K171" i="5"/>
  <c r="L171" i="5"/>
  <c r="M171" i="5"/>
  <c r="N171" i="5"/>
  <c r="G171" i="5"/>
  <c r="H174" i="5"/>
  <c r="I174" i="5"/>
  <c r="J174" i="5"/>
  <c r="K174" i="5"/>
  <c r="L174" i="5"/>
  <c r="M174" i="5"/>
  <c r="N174" i="5"/>
  <c r="G174" i="5"/>
  <c r="H176" i="5"/>
  <c r="I176" i="5"/>
  <c r="J176" i="5"/>
  <c r="K176" i="5"/>
  <c r="L176" i="5"/>
  <c r="M176" i="5"/>
  <c r="N176" i="5"/>
  <c r="G176" i="5"/>
  <c r="N181" i="5"/>
  <c r="M181" i="5"/>
  <c r="J181" i="5"/>
  <c r="I181" i="5"/>
  <c r="H181" i="5"/>
  <c r="G181" i="5"/>
  <c r="M182" i="5" l="1"/>
  <c r="N182" i="5"/>
  <c r="H182" i="5"/>
  <c r="I182" i="5"/>
  <c r="J182" i="5"/>
  <c r="K182" i="5"/>
  <c r="L182" i="5"/>
  <c r="G182" i="5"/>
  <c r="H183" i="5"/>
  <c r="I183" i="5"/>
  <c r="J183" i="5"/>
  <c r="K183" i="5"/>
  <c r="L183" i="5"/>
  <c r="M183" i="5"/>
  <c r="N183" i="5"/>
  <c r="G183" i="5"/>
  <c r="H188" i="5"/>
  <c r="I188" i="5"/>
  <c r="J188" i="5"/>
  <c r="K188" i="5"/>
  <c r="L188" i="5"/>
  <c r="M188" i="5"/>
  <c r="N188" i="5"/>
  <c r="G188" i="5"/>
  <c r="H190" i="5"/>
  <c r="I190" i="5"/>
  <c r="J190" i="5"/>
  <c r="K190" i="5"/>
  <c r="L190" i="5"/>
  <c r="M190" i="5"/>
  <c r="N190" i="5"/>
  <c r="G190" i="5"/>
  <c r="H198" i="5"/>
  <c r="I198" i="5"/>
  <c r="J198" i="5"/>
  <c r="K198" i="5"/>
  <c r="L198" i="5"/>
  <c r="M198" i="5"/>
  <c r="N198" i="5"/>
  <c r="G198" i="5"/>
  <c r="H199" i="5"/>
  <c r="I199" i="5"/>
  <c r="J199" i="5"/>
  <c r="K199" i="5"/>
  <c r="L199" i="5"/>
  <c r="M199" i="5"/>
  <c r="N199" i="5"/>
  <c r="G199" i="5"/>
  <c r="H201" i="5"/>
  <c r="I201" i="5"/>
  <c r="J201" i="5"/>
  <c r="K201" i="5"/>
  <c r="L201" i="5"/>
  <c r="M201" i="5"/>
  <c r="N201" i="5"/>
  <c r="G201" i="5"/>
  <c r="H202" i="5"/>
  <c r="I202" i="5"/>
  <c r="J202" i="5"/>
  <c r="K202" i="5"/>
  <c r="L202" i="5"/>
  <c r="M202" i="5"/>
  <c r="N202" i="5"/>
  <c r="G202" i="5"/>
  <c r="H206" i="5"/>
  <c r="I206" i="5"/>
  <c r="J206" i="5"/>
  <c r="K206" i="5"/>
  <c r="L206" i="5"/>
  <c r="M206" i="5"/>
  <c r="N206" i="5"/>
  <c r="G206" i="5"/>
  <c r="M214" i="5"/>
  <c r="N214" i="5"/>
  <c r="J214" i="5"/>
  <c r="L214" i="5"/>
  <c r="H214" i="5"/>
  <c r="I214" i="5"/>
  <c r="G214" i="5"/>
  <c r="H215" i="5"/>
  <c r="I215" i="5"/>
  <c r="J215" i="5"/>
  <c r="K215" i="5"/>
  <c r="L215" i="5"/>
  <c r="M215" i="5"/>
  <c r="N215" i="5"/>
  <c r="G215" i="5"/>
  <c r="H218" i="5"/>
  <c r="I218" i="5"/>
  <c r="J218" i="5"/>
  <c r="K218" i="5"/>
  <c r="L218" i="5"/>
  <c r="M218" i="5"/>
  <c r="N218" i="5"/>
  <c r="G218" i="5"/>
  <c r="H220" i="5"/>
  <c r="I220" i="5"/>
  <c r="J220" i="5"/>
  <c r="K220" i="5"/>
  <c r="K214" i="5" s="1"/>
  <c r="L220" i="5"/>
  <c r="M220" i="5"/>
  <c r="N220" i="5"/>
  <c r="G220" i="5"/>
  <c r="H226" i="5"/>
  <c r="I226" i="5"/>
  <c r="J226" i="5"/>
  <c r="L226" i="5"/>
  <c r="M226" i="5"/>
  <c r="N226" i="5"/>
  <c r="G226" i="5"/>
  <c r="H227" i="5"/>
  <c r="I227" i="5"/>
  <c r="J227" i="5"/>
  <c r="K227" i="5"/>
  <c r="L227" i="5"/>
  <c r="M227" i="5"/>
  <c r="N227" i="5"/>
  <c r="G227" i="5"/>
  <c r="H231" i="5"/>
  <c r="I231" i="5"/>
  <c r="J231" i="5"/>
  <c r="K231" i="5"/>
  <c r="L231" i="5"/>
  <c r="M231" i="5"/>
  <c r="N231" i="5"/>
  <c r="G231" i="5"/>
  <c r="L239" i="5"/>
  <c r="M239" i="5"/>
  <c r="N239" i="5"/>
  <c r="I239" i="5"/>
  <c r="J239" i="5"/>
  <c r="K239" i="5"/>
  <c r="H239" i="5"/>
  <c r="G239" i="5"/>
  <c r="H240" i="5"/>
  <c r="I240" i="5"/>
  <c r="J240" i="5"/>
  <c r="K240" i="5"/>
  <c r="L240" i="5"/>
  <c r="M240" i="5"/>
  <c r="N240" i="5"/>
  <c r="G240" i="5"/>
  <c r="H243" i="5"/>
  <c r="I243" i="5"/>
  <c r="J243" i="5"/>
  <c r="K243" i="5"/>
  <c r="L243" i="5"/>
  <c r="M243" i="5"/>
  <c r="N243" i="5"/>
  <c r="G243" i="5"/>
  <c r="H249" i="5"/>
  <c r="I249" i="5"/>
  <c r="J249" i="5"/>
  <c r="L249" i="5"/>
  <c r="L181" i="5" s="1"/>
  <c r="M249" i="5"/>
  <c r="N249" i="5"/>
  <c r="G249" i="5"/>
  <c r="M250" i="5"/>
  <c r="N250" i="5"/>
  <c r="H250" i="5"/>
  <c r="I250" i="5"/>
  <c r="J250" i="5"/>
  <c r="K250" i="5"/>
  <c r="K249" i="5" s="1"/>
  <c r="G250" i="5"/>
  <c r="H253" i="5"/>
  <c r="I253" i="5"/>
  <c r="J253" i="5"/>
  <c r="K253" i="5"/>
  <c r="L253" i="5"/>
  <c r="M253" i="5"/>
  <c r="N253" i="5"/>
  <c r="G253" i="5"/>
  <c r="H256" i="5"/>
  <c r="I256" i="5"/>
  <c r="J256" i="5"/>
  <c r="L256" i="5"/>
  <c r="M256" i="5"/>
  <c r="N256" i="5"/>
  <c r="G256" i="5"/>
  <c r="H257" i="5"/>
  <c r="I257" i="5"/>
  <c r="J257" i="5"/>
  <c r="K257" i="5"/>
  <c r="L257" i="5"/>
  <c r="M257" i="5"/>
  <c r="N257" i="5"/>
  <c r="G257" i="5"/>
  <c r="H259" i="5"/>
  <c r="I259" i="5"/>
  <c r="J259" i="5"/>
  <c r="K259" i="5"/>
  <c r="L259" i="5"/>
  <c r="M259" i="5"/>
  <c r="N259" i="5"/>
  <c r="G259" i="5"/>
  <c r="H261" i="5"/>
  <c r="I261" i="5"/>
  <c r="J261" i="5"/>
  <c r="K261" i="5"/>
  <c r="K256" i="5" s="1"/>
  <c r="L261" i="5"/>
  <c r="M261" i="5"/>
  <c r="N261" i="5"/>
  <c r="G261" i="5"/>
  <c r="N267" i="5"/>
  <c r="M267" i="5"/>
  <c r="H267" i="5"/>
  <c r="I267" i="5"/>
  <c r="J267" i="5"/>
  <c r="L267" i="5"/>
  <c r="G267" i="5"/>
  <c r="H268" i="5"/>
  <c r="I268" i="5"/>
  <c r="J268" i="5"/>
  <c r="K268" i="5"/>
  <c r="K267" i="5" s="1"/>
  <c r="L268" i="5"/>
  <c r="M268" i="5"/>
  <c r="N268" i="5"/>
  <c r="G268" i="5"/>
  <c r="H274" i="5"/>
  <c r="I274" i="5"/>
  <c r="J274" i="5"/>
  <c r="K274" i="5"/>
  <c r="L274" i="5"/>
  <c r="M274" i="5"/>
  <c r="N274" i="5"/>
  <c r="G274" i="5"/>
  <c r="H277" i="5"/>
  <c r="I277" i="5"/>
  <c r="J277" i="5"/>
  <c r="K277" i="5"/>
  <c r="L277" i="5"/>
  <c r="M277" i="5"/>
  <c r="N277" i="5"/>
  <c r="G277" i="5"/>
  <c r="H283" i="5"/>
  <c r="I283" i="5"/>
  <c r="J283" i="5"/>
  <c r="K283" i="5"/>
  <c r="L283" i="5"/>
  <c r="M283" i="5"/>
  <c r="N283" i="5"/>
  <c r="G283" i="5"/>
  <c r="H284" i="5"/>
  <c r="I284" i="5"/>
  <c r="J284" i="5"/>
  <c r="K284" i="5"/>
  <c r="L284" i="5"/>
  <c r="M284" i="5"/>
  <c r="N284" i="5"/>
  <c r="G284" i="5"/>
  <c r="H289" i="5"/>
  <c r="I289" i="5"/>
  <c r="J289" i="5"/>
  <c r="K289" i="5"/>
  <c r="L289" i="5"/>
  <c r="M289" i="5"/>
  <c r="N289" i="5"/>
  <c r="G289" i="5"/>
  <c r="H295" i="5"/>
  <c r="I295" i="5"/>
  <c r="J295" i="5"/>
  <c r="K295" i="5"/>
  <c r="L295" i="5"/>
  <c r="M295" i="5"/>
  <c r="N295" i="5"/>
  <c r="G295" i="5"/>
  <c r="H296" i="5"/>
  <c r="I296" i="5"/>
  <c r="J296" i="5"/>
  <c r="K296" i="5"/>
  <c r="L296" i="5"/>
  <c r="M296" i="5"/>
  <c r="N296" i="5"/>
  <c r="G296" i="5"/>
  <c r="M298" i="5"/>
  <c r="N298" i="5"/>
  <c r="H298" i="5"/>
  <c r="I298" i="5"/>
  <c r="J298" i="5"/>
  <c r="K298" i="5"/>
  <c r="L298" i="5"/>
  <c r="G298" i="5"/>
  <c r="L300" i="5"/>
  <c r="M300" i="5"/>
  <c r="N300" i="5"/>
  <c r="H300" i="5"/>
  <c r="I300" i="5"/>
  <c r="J300" i="5"/>
  <c r="G300" i="5"/>
  <c r="L301" i="5"/>
  <c r="M301" i="5"/>
  <c r="N301" i="5"/>
  <c r="H301" i="5"/>
  <c r="I301" i="5"/>
  <c r="J301" i="5"/>
  <c r="K301" i="5"/>
  <c r="K300" i="5" s="1"/>
  <c r="G301" i="5"/>
  <c r="H306" i="5"/>
  <c r="I306" i="5"/>
  <c r="J306" i="5"/>
  <c r="K306" i="5"/>
  <c r="L306" i="5"/>
  <c r="M306" i="5"/>
  <c r="N306" i="5"/>
  <c r="G306" i="5"/>
  <c r="L308" i="5"/>
  <c r="M308" i="5"/>
  <c r="N308" i="5"/>
  <c r="H308" i="5"/>
  <c r="I308" i="5"/>
  <c r="J308" i="5"/>
  <c r="K308" i="5"/>
  <c r="G308" i="5"/>
  <c r="L315" i="5"/>
  <c r="M315" i="5"/>
  <c r="N315" i="5"/>
  <c r="H315" i="5"/>
  <c r="I315" i="5"/>
  <c r="J315" i="5"/>
  <c r="G315" i="5"/>
  <c r="L317" i="5"/>
  <c r="H317" i="5"/>
  <c r="I317" i="5"/>
  <c r="J317" i="5"/>
  <c r="K317" i="5"/>
  <c r="G317" i="5"/>
  <c r="H322" i="5"/>
  <c r="I322" i="5"/>
  <c r="J322" i="5"/>
  <c r="K322" i="5"/>
  <c r="L322" i="5"/>
  <c r="M322" i="5"/>
  <c r="N322" i="5"/>
  <c r="G322" i="5"/>
  <c r="L324" i="5"/>
  <c r="M324" i="5"/>
  <c r="N324" i="5"/>
  <c r="H324" i="5"/>
  <c r="I324" i="5"/>
  <c r="J324" i="5"/>
  <c r="K324" i="5"/>
  <c r="G324" i="5"/>
  <c r="L330" i="5"/>
  <c r="M330" i="5"/>
  <c r="N330" i="5"/>
  <c r="H330" i="5"/>
  <c r="I330" i="5"/>
  <c r="J330" i="5"/>
  <c r="G330" i="5"/>
  <c r="H331" i="5"/>
  <c r="I331" i="5"/>
  <c r="J331" i="5"/>
  <c r="K331" i="5"/>
  <c r="K330" i="5" s="1"/>
  <c r="L331" i="5"/>
  <c r="M331" i="5"/>
  <c r="N331" i="5"/>
  <c r="G331" i="5"/>
  <c r="H335" i="5"/>
  <c r="I335" i="5"/>
  <c r="J335" i="5"/>
  <c r="K335" i="5"/>
  <c r="L335" i="5"/>
  <c r="M335" i="5"/>
  <c r="N335" i="5"/>
  <c r="G335" i="5"/>
  <c r="H340" i="5"/>
  <c r="I340" i="5"/>
  <c r="J340" i="5"/>
  <c r="L340" i="5"/>
  <c r="M340" i="5"/>
  <c r="N340" i="5"/>
  <c r="G340" i="5"/>
  <c r="H341" i="5"/>
  <c r="I341" i="5"/>
  <c r="J341" i="5"/>
  <c r="K341" i="5"/>
  <c r="K340" i="5" s="1"/>
  <c r="L341" i="5"/>
  <c r="M341" i="5"/>
  <c r="N341" i="5"/>
  <c r="G341" i="5"/>
  <c r="H344" i="5"/>
  <c r="I344" i="5"/>
  <c r="J344" i="5"/>
  <c r="K344" i="5"/>
  <c r="L344" i="5"/>
  <c r="M344" i="5"/>
  <c r="N344" i="5"/>
  <c r="G344" i="5"/>
  <c r="H346" i="5"/>
  <c r="I346" i="5"/>
  <c r="J346" i="5"/>
  <c r="K346" i="5"/>
  <c r="L346" i="5"/>
  <c r="M346" i="5"/>
  <c r="N346" i="5"/>
  <c r="G346" i="5"/>
  <c r="H351" i="5"/>
  <c r="I351" i="5"/>
  <c r="J351" i="5"/>
  <c r="L351" i="5"/>
  <c r="M351" i="5"/>
  <c r="N351" i="5"/>
  <c r="G351" i="5"/>
  <c r="H352" i="5"/>
  <c r="I352" i="5"/>
  <c r="J352" i="5"/>
  <c r="K352" i="5"/>
  <c r="K351" i="5" s="1"/>
  <c r="G352" i="5"/>
  <c r="H356" i="5"/>
  <c r="I356" i="5"/>
  <c r="J356" i="5"/>
  <c r="K356" i="5"/>
  <c r="L356" i="5"/>
  <c r="M356" i="5"/>
  <c r="N356" i="5"/>
  <c r="G356" i="5"/>
  <c r="H361" i="5"/>
  <c r="I361" i="5"/>
  <c r="J361" i="5"/>
  <c r="K361" i="5"/>
  <c r="L361" i="5"/>
  <c r="M361" i="5"/>
  <c r="N361" i="5"/>
  <c r="G361" i="5"/>
  <c r="H362" i="5"/>
  <c r="I362" i="5"/>
  <c r="J362" i="5"/>
  <c r="K362" i="5"/>
  <c r="L362" i="5"/>
  <c r="M362" i="5"/>
  <c r="N362" i="5"/>
  <c r="G362" i="5"/>
  <c r="L363" i="5"/>
  <c r="M363" i="5"/>
  <c r="N363" i="5"/>
  <c r="H363" i="5"/>
  <c r="I363" i="5"/>
  <c r="J363" i="5"/>
  <c r="K363" i="5"/>
  <c r="G363" i="5"/>
  <c r="L366" i="5"/>
  <c r="M366" i="5"/>
  <c r="N366" i="5"/>
  <c r="H366" i="5"/>
  <c r="I366" i="5"/>
  <c r="J366" i="5"/>
  <c r="K366" i="5"/>
  <c r="G366" i="5"/>
  <c r="N371" i="5"/>
  <c r="H371" i="5"/>
  <c r="I371" i="5"/>
  <c r="J371" i="5"/>
  <c r="K371" i="5"/>
  <c r="L371" i="5"/>
  <c r="M371" i="5"/>
  <c r="G371" i="5"/>
  <c r="H372" i="5"/>
  <c r="I372" i="5"/>
  <c r="J372" i="5"/>
  <c r="K372" i="5"/>
  <c r="L372" i="5"/>
  <c r="M372" i="5"/>
  <c r="N372" i="5"/>
  <c r="G372" i="5"/>
  <c r="H373" i="5"/>
  <c r="I373" i="5"/>
  <c r="J373" i="5"/>
  <c r="K373" i="5"/>
  <c r="L373" i="5"/>
  <c r="M373" i="5"/>
  <c r="N373" i="5"/>
  <c r="G373" i="5"/>
  <c r="H379" i="5"/>
  <c r="I379" i="5"/>
  <c r="J379" i="5"/>
  <c r="K379" i="5"/>
  <c r="L379" i="5"/>
  <c r="M379" i="5"/>
  <c r="N379" i="5"/>
  <c r="G379" i="5"/>
  <c r="L381" i="5"/>
  <c r="M381" i="5"/>
  <c r="N381" i="5"/>
  <c r="H381" i="5"/>
  <c r="I381" i="5"/>
  <c r="J381" i="5"/>
  <c r="K381" i="5"/>
  <c r="G381" i="5"/>
  <c r="N387" i="5"/>
  <c r="L387" i="5"/>
  <c r="M387" i="5"/>
  <c r="H387" i="5"/>
  <c r="I387" i="5"/>
  <c r="J387" i="5"/>
  <c r="G387" i="5"/>
  <c r="H388" i="5"/>
  <c r="I388" i="5"/>
  <c r="J388" i="5"/>
  <c r="K388" i="5"/>
  <c r="K387" i="5" s="1"/>
  <c r="L388" i="5"/>
  <c r="M388" i="5"/>
  <c r="N388" i="5"/>
  <c r="G388" i="5"/>
  <c r="H389" i="5"/>
  <c r="I389" i="5"/>
  <c r="J389" i="5"/>
  <c r="K389" i="5"/>
  <c r="L389" i="5"/>
  <c r="M389" i="5"/>
  <c r="N389" i="5"/>
  <c r="G389" i="5"/>
  <c r="H392" i="5"/>
  <c r="I392" i="5"/>
  <c r="J392" i="5"/>
  <c r="K392" i="5"/>
  <c r="L392" i="5"/>
  <c r="M392" i="5"/>
  <c r="N392" i="5"/>
  <c r="G392" i="5"/>
  <c r="H399" i="5"/>
  <c r="I399" i="5"/>
  <c r="J399" i="5"/>
  <c r="K399" i="5"/>
  <c r="L399" i="5"/>
  <c r="M399" i="5"/>
  <c r="N399" i="5"/>
  <c r="G399" i="5"/>
  <c r="H400" i="5"/>
  <c r="I400" i="5"/>
  <c r="J400" i="5"/>
  <c r="K400" i="5"/>
  <c r="L400" i="5"/>
  <c r="M400" i="5"/>
  <c r="N400" i="5"/>
  <c r="G400" i="5"/>
  <c r="H402" i="5"/>
  <c r="I402" i="5"/>
  <c r="J402" i="5"/>
  <c r="K402" i="5"/>
  <c r="L402" i="5"/>
  <c r="M402" i="5"/>
  <c r="N402" i="5"/>
  <c r="G402" i="5"/>
  <c r="H404" i="5"/>
  <c r="I404" i="5"/>
  <c r="J404" i="5"/>
  <c r="K404" i="5"/>
  <c r="L404" i="5"/>
  <c r="M404" i="5"/>
  <c r="N404" i="5"/>
  <c r="G404" i="5"/>
  <c r="H406" i="5"/>
  <c r="I406" i="5"/>
  <c r="J406" i="5"/>
  <c r="K406" i="5"/>
  <c r="L406" i="5"/>
  <c r="M406" i="5"/>
  <c r="N406" i="5"/>
  <c r="G406" i="5"/>
  <c r="H408" i="5"/>
  <c r="I408" i="5"/>
  <c r="J408" i="5"/>
  <c r="K408" i="5"/>
  <c r="L408" i="5"/>
  <c r="M408" i="5"/>
  <c r="N408" i="5"/>
  <c r="G408" i="5"/>
  <c r="L410" i="5"/>
  <c r="M410" i="5"/>
  <c r="N410" i="5"/>
  <c r="H410" i="5"/>
  <c r="I410" i="5"/>
  <c r="J410" i="5"/>
  <c r="G410" i="5"/>
  <c r="H411" i="5"/>
  <c r="I411" i="5"/>
  <c r="J411" i="5"/>
  <c r="L411" i="5"/>
  <c r="M411" i="5"/>
  <c r="N411" i="5"/>
  <c r="G411" i="5"/>
  <c r="L412" i="5"/>
  <c r="M412" i="5"/>
  <c r="N412" i="5"/>
  <c r="H412" i="5"/>
  <c r="I412" i="5"/>
  <c r="J412" i="5"/>
  <c r="K412" i="5"/>
  <c r="G412" i="5"/>
  <c r="H416" i="5"/>
  <c r="I416" i="5"/>
  <c r="J416" i="5"/>
  <c r="K416" i="5"/>
  <c r="L416" i="5"/>
  <c r="M416" i="5"/>
  <c r="N416" i="5"/>
  <c r="G416" i="5"/>
  <c r="L418" i="5"/>
  <c r="M418" i="5"/>
  <c r="N418" i="5"/>
  <c r="H418" i="5"/>
  <c r="I418" i="5"/>
  <c r="J418" i="5"/>
  <c r="K418" i="5"/>
  <c r="K411" i="5" s="1"/>
  <c r="K410" i="5" s="1"/>
  <c r="G418" i="5"/>
  <c r="N426" i="5"/>
  <c r="H426" i="5"/>
  <c r="I426" i="5"/>
  <c r="J426" i="5"/>
  <c r="K426" i="5"/>
  <c r="L426" i="5"/>
  <c r="M426" i="5"/>
  <c r="G426" i="5"/>
  <c r="H427" i="5"/>
  <c r="I427" i="5"/>
  <c r="J427" i="5"/>
  <c r="K427" i="5"/>
  <c r="L427" i="5"/>
  <c r="M427" i="5"/>
  <c r="N427" i="5"/>
  <c r="G427" i="5"/>
  <c r="H431" i="5"/>
  <c r="I431" i="5"/>
  <c r="J431" i="5"/>
  <c r="K431" i="5"/>
  <c r="L431" i="5"/>
  <c r="M431" i="5"/>
  <c r="N431" i="5"/>
  <c r="G431" i="5"/>
  <c r="L433" i="5"/>
  <c r="M433" i="5"/>
  <c r="N433" i="5"/>
  <c r="H433" i="5"/>
  <c r="I433" i="5"/>
  <c r="J433" i="5"/>
  <c r="K433" i="5"/>
  <c r="G433" i="5"/>
  <c r="H438" i="5"/>
  <c r="I438" i="5"/>
  <c r="J438" i="5"/>
  <c r="M438" i="5"/>
  <c r="N438" i="5"/>
  <c r="G438" i="5"/>
  <c r="M439" i="5"/>
  <c r="N439" i="5"/>
  <c r="H439" i="5"/>
  <c r="I439" i="5"/>
  <c r="J439" i="5"/>
  <c r="G439" i="5"/>
  <c r="L440" i="5"/>
  <c r="L439" i="5" s="1"/>
  <c r="L438" i="5" s="1"/>
  <c r="M440" i="5"/>
  <c r="N440" i="5"/>
  <c r="H440" i="5"/>
  <c r="I440" i="5"/>
  <c r="J440" i="5"/>
  <c r="K440" i="5"/>
  <c r="G440" i="5"/>
  <c r="H444" i="5"/>
  <c r="I444" i="5"/>
  <c r="J444" i="5"/>
  <c r="K444" i="5"/>
  <c r="K439" i="5" s="1"/>
  <c r="L444" i="5"/>
  <c r="M444" i="5"/>
  <c r="N444" i="5"/>
  <c r="G444" i="5"/>
  <c r="H451" i="5"/>
  <c r="I451" i="5"/>
  <c r="J451" i="5"/>
  <c r="K451" i="5"/>
  <c r="L451" i="5"/>
  <c r="M451" i="5"/>
  <c r="N451" i="5"/>
  <c r="G451" i="5"/>
  <c r="H452" i="5"/>
  <c r="I452" i="5"/>
  <c r="J452" i="5"/>
  <c r="K452" i="5"/>
  <c r="L452" i="5"/>
  <c r="M452" i="5"/>
  <c r="N452" i="5"/>
  <c r="G452" i="5"/>
  <c r="H454" i="5"/>
  <c r="I454" i="5"/>
  <c r="J454" i="5"/>
  <c r="K454" i="5"/>
  <c r="L454" i="5"/>
  <c r="M454" i="5"/>
  <c r="N454" i="5"/>
  <c r="G454" i="5"/>
  <c r="L458" i="5"/>
  <c r="M458" i="5"/>
  <c r="N458" i="5"/>
  <c r="H458" i="5"/>
  <c r="I458" i="5"/>
  <c r="J458" i="5"/>
  <c r="G458" i="5"/>
  <c r="K459" i="5"/>
  <c r="K458" i="5" s="1"/>
  <c r="L459" i="5"/>
  <c r="M459" i="5"/>
  <c r="N459" i="5"/>
  <c r="H459" i="5"/>
  <c r="I459" i="5"/>
  <c r="J459" i="5"/>
  <c r="G459" i="5"/>
  <c r="H468" i="5"/>
  <c r="I468" i="5"/>
  <c r="J468" i="5"/>
  <c r="K468" i="5"/>
  <c r="L468" i="5"/>
  <c r="M468" i="5"/>
  <c r="N468" i="5"/>
  <c r="G468" i="5"/>
  <c r="H471" i="5"/>
  <c r="I471" i="5"/>
  <c r="J471" i="5"/>
  <c r="K471" i="5"/>
  <c r="L471" i="5"/>
  <c r="M471" i="5"/>
  <c r="N471" i="5"/>
  <c r="G471" i="5"/>
  <c r="H479" i="5"/>
  <c r="I479" i="5"/>
  <c r="J479" i="5"/>
  <c r="L479" i="5"/>
  <c r="M479" i="5"/>
  <c r="N479" i="5"/>
  <c r="G479" i="5"/>
  <c r="H480" i="5"/>
  <c r="I480" i="5"/>
  <c r="J480" i="5"/>
  <c r="K480" i="5"/>
  <c r="K479" i="5" s="1"/>
  <c r="L480" i="5"/>
  <c r="M480" i="5"/>
  <c r="N480" i="5"/>
  <c r="G480" i="5"/>
  <c r="H483" i="5"/>
  <c r="I483" i="5"/>
  <c r="J483" i="5"/>
  <c r="K483" i="5"/>
  <c r="L483" i="5"/>
  <c r="M483" i="5"/>
  <c r="N483" i="5"/>
  <c r="G483" i="5"/>
  <c r="M484" i="5"/>
  <c r="N484" i="5"/>
  <c r="H484" i="5"/>
  <c r="I484" i="5"/>
  <c r="J484" i="5"/>
  <c r="K484" i="5"/>
  <c r="L484" i="5"/>
  <c r="G484" i="5"/>
  <c r="M485" i="5"/>
  <c r="N485" i="5"/>
  <c r="H485" i="5"/>
  <c r="I485" i="5"/>
  <c r="J485" i="5"/>
  <c r="K485" i="5"/>
  <c r="L485" i="5"/>
  <c r="G485" i="5"/>
  <c r="H490" i="5"/>
  <c r="I490" i="5"/>
  <c r="J490" i="5"/>
  <c r="K490" i="5"/>
  <c r="L490" i="5"/>
  <c r="M490" i="5"/>
  <c r="N490" i="5"/>
  <c r="G490" i="5"/>
  <c r="H499" i="5"/>
  <c r="I499" i="5"/>
  <c r="J499" i="5"/>
  <c r="G499" i="5"/>
  <c r="M500" i="5"/>
  <c r="N500" i="5"/>
  <c r="H500" i="5"/>
  <c r="I500" i="5"/>
  <c r="J500" i="5"/>
  <c r="K500" i="5"/>
  <c r="L500" i="5"/>
  <c r="G500" i="5"/>
  <c r="L501" i="5"/>
  <c r="M501" i="5"/>
  <c r="N501" i="5"/>
  <c r="H501" i="5"/>
  <c r="I501" i="5"/>
  <c r="J501" i="5"/>
  <c r="K501" i="5"/>
  <c r="G501" i="5"/>
  <c r="H507" i="5"/>
  <c r="I507" i="5"/>
  <c r="J507" i="5"/>
  <c r="K507" i="5"/>
  <c r="L507" i="5"/>
  <c r="M507" i="5"/>
  <c r="N507" i="5"/>
  <c r="G507" i="5"/>
  <c r="L509" i="5"/>
  <c r="M509" i="5"/>
  <c r="N509" i="5"/>
  <c r="H509" i="5"/>
  <c r="I509" i="5"/>
  <c r="J509" i="5"/>
  <c r="K509" i="5"/>
  <c r="G509" i="5"/>
  <c r="L518" i="5"/>
  <c r="M518" i="5"/>
  <c r="N518" i="5"/>
  <c r="H518" i="5"/>
  <c r="I518" i="5"/>
  <c r="J518" i="5"/>
  <c r="K518" i="5"/>
  <c r="G518" i="5"/>
  <c r="L519" i="5"/>
  <c r="M519" i="5"/>
  <c r="N519" i="5"/>
  <c r="H519" i="5"/>
  <c r="I519" i="5"/>
  <c r="J519" i="5"/>
  <c r="K519" i="5"/>
  <c r="G519" i="5"/>
  <c r="H529" i="5"/>
  <c r="I529" i="5"/>
  <c r="J529" i="5"/>
  <c r="K529" i="5"/>
  <c r="L529" i="5"/>
  <c r="M529" i="5"/>
  <c r="N529" i="5"/>
  <c r="G529" i="5"/>
  <c r="L531" i="5"/>
  <c r="M531" i="5"/>
  <c r="N531" i="5"/>
  <c r="H531" i="5"/>
  <c r="I531" i="5"/>
  <c r="J531" i="5"/>
  <c r="K531" i="5"/>
  <c r="G531" i="5"/>
  <c r="M537" i="5"/>
  <c r="N537" i="5"/>
  <c r="L537" i="5"/>
  <c r="H537" i="5"/>
  <c r="I537" i="5"/>
  <c r="J537" i="5"/>
  <c r="G537" i="5"/>
  <c r="H538" i="5"/>
  <c r="I538" i="5"/>
  <c r="J538" i="5"/>
  <c r="K538" i="5"/>
  <c r="K537" i="5" s="1"/>
  <c r="L538" i="5"/>
  <c r="M538" i="5"/>
  <c r="N538" i="5"/>
  <c r="G538" i="5"/>
  <c r="H549" i="5"/>
  <c r="I549" i="5"/>
  <c r="J549" i="5"/>
  <c r="K549" i="5"/>
  <c r="L549" i="5"/>
  <c r="M549" i="5"/>
  <c r="N549" i="5"/>
  <c r="G549" i="5"/>
  <c r="L551" i="5"/>
  <c r="M551" i="5"/>
  <c r="N551" i="5"/>
  <c r="H551" i="5"/>
  <c r="I551" i="5"/>
  <c r="J551" i="5"/>
  <c r="K551" i="5"/>
  <c r="G551" i="5"/>
  <c r="L558" i="5"/>
  <c r="M558" i="5"/>
  <c r="N558" i="5"/>
  <c r="H558" i="5"/>
  <c r="I558" i="5"/>
  <c r="J558" i="5"/>
  <c r="K558" i="5"/>
  <c r="G558" i="5"/>
  <c r="L559" i="5"/>
  <c r="M559" i="5"/>
  <c r="N559" i="5"/>
  <c r="H559" i="5"/>
  <c r="I559" i="5"/>
  <c r="J559" i="5"/>
  <c r="K559" i="5"/>
  <c r="G559" i="5"/>
  <c r="H569" i="5"/>
  <c r="I569" i="5"/>
  <c r="J569" i="5"/>
  <c r="K569" i="5"/>
  <c r="L569" i="5"/>
  <c r="M569" i="5"/>
  <c r="N569" i="5"/>
  <c r="G569" i="5"/>
  <c r="L575" i="5"/>
  <c r="M575" i="5"/>
  <c r="N575" i="5"/>
  <c r="H575" i="5"/>
  <c r="I575" i="5"/>
  <c r="J575" i="5"/>
  <c r="K575" i="5"/>
  <c r="G575" i="5"/>
  <c r="L576" i="5"/>
  <c r="M576" i="5"/>
  <c r="N576" i="5"/>
  <c r="H576" i="5"/>
  <c r="I576" i="5"/>
  <c r="J576" i="5"/>
  <c r="K576" i="5"/>
  <c r="G576" i="5"/>
  <c r="H586" i="5"/>
  <c r="I586" i="5"/>
  <c r="J586" i="5"/>
  <c r="K586" i="5"/>
  <c r="L586" i="5"/>
  <c r="M586" i="5"/>
  <c r="N586" i="5"/>
  <c r="G586" i="5"/>
  <c r="H589" i="5"/>
  <c r="I589" i="5"/>
  <c r="J589" i="5"/>
  <c r="K589" i="5"/>
  <c r="L589" i="5"/>
  <c r="M589" i="5"/>
  <c r="N589" i="5"/>
  <c r="G589" i="5"/>
  <c r="L601" i="5"/>
  <c r="M601" i="5"/>
  <c r="N601" i="5"/>
  <c r="H601" i="5"/>
  <c r="I601" i="5"/>
  <c r="J601" i="5"/>
  <c r="K601" i="5"/>
  <c r="G601" i="5"/>
  <c r="K602" i="5"/>
  <c r="L602" i="5"/>
  <c r="M602" i="5"/>
  <c r="N602" i="5"/>
  <c r="H602" i="5"/>
  <c r="I602" i="5"/>
  <c r="J602" i="5"/>
  <c r="G602" i="5"/>
  <c r="H610" i="5"/>
  <c r="I610" i="5"/>
  <c r="J610" i="5"/>
  <c r="K610" i="5"/>
  <c r="L610" i="5"/>
  <c r="M610" i="5"/>
  <c r="N610" i="5"/>
  <c r="G610" i="5"/>
  <c r="N613" i="5"/>
  <c r="L613" i="5"/>
  <c r="K613" i="5"/>
  <c r="I613" i="5"/>
  <c r="J613" i="5"/>
  <c r="H613" i="5"/>
  <c r="G613" i="5"/>
  <c r="N614" i="5"/>
  <c r="K614" i="5"/>
  <c r="L614" i="5"/>
  <c r="M614" i="5"/>
  <c r="M613" i="5" s="1"/>
  <c r="H614" i="5"/>
  <c r="I614" i="5"/>
  <c r="J614" i="5"/>
  <c r="G614" i="5"/>
  <c r="N623" i="5"/>
  <c r="M623" i="5"/>
  <c r="L623" i="5"/>
  <c r="H623" i="5"/>
  <c r="I623" i="5"/>
  <c r="J623" i="5"/>
  <c r="K623" i="5"/>
  <c r="G623" i="5"/>
  <c r="H628" i="5"/>
  <c r="I628" i="5"/>
  <c r="J628" i="5"/>
  <c r="L628" i="5"/>
  <c r="M628" i="5"/>
  <c r="N628" i="5"/>
  <c r="G628" i="5"/>
  <c r="N629" i="5"/>
  <c r="M629" i="5"/>
  <c r="L629" i="5"/>
  <c r="K629" i="5"/>
  <c r="K628" i="5" s="1"/>
  <c r="H629" i="5"/>
  <c r="I629" i="5"/>
  <c r="J629" i="5"/>
  <c r="G629" i="5"/>
  <c r="M638" i="5"/>
  <c r="N638" i="5"/>
  <c r="L638" i="5"/>
  <c r="K638" i="5"/>
  <c r="H638" i="5"/>
  <c r="I638" i="5"/>
  <c r="J638" i="5"/>
  <c r="G638" i="5"/>
  <c r="N641" i="5"/>
  <c r="L641" i="5"/>
  <c r="M641" i="5"/>
  <c r="H641" i="5"/>
  <c r="I641" i="5"/>
  <c r="J641" i="5"/>
  <c r="G641" i="5"/>
  <c r="N642" i="5"/>
  <c r="M642" i="5"/>
  <c r="L642" i="5"/>
  <c r="K642" i="5"/>
  <c r="K641" i="5" s="1"/>
  <c r="H642" i="5"/>
  <c r="I642" i="5"/>
  <c r="J642" i="5"/>
  <c r="G642" i="5"/>
  <c r="N652" i="5"/>
  <c r="K652" i="5"/>
  <c r="L652" i="5"/>
  <c r="M652" i="5"/>
  <c r="H652" i="5"/>
  <c r="I652" i="5"/>
  <c r="J652" i="5"/>
  <c r="G652" i="5"/>
  <c r="L663" i="5"/>
  <c r="M663" i="5"/>
  <c r="N663" i="5"/>
  <c r="H663" i="5"/>
  <c r="I663" i="5"/>
  <c r="J663" i="5"/>
  <c r="G663" i="5"/>
  <c r="L664" i="5"/>
  <c r="M664" i="5"/>
  <c r="N664" i="5"/>
  <c r="H664" i="5"/>
  <c r="I664" i="5"/>
  <c r="J664" i="5"/>
  <c r="G664" i="5"/>
  <c r="L665" i="5"/>
  <c r="M665" i="5"/>
  <c r="N665" i="5"/>
  <c r="H665" i="5"/>
  <c r="I665" i="5"/>
  <c r="J665" i="5"/>
  <c r="K665" i="5"/>
  <c r="K664" i="5" s="1"/>
  <c r="G665" i="5"/>
  <c r="H677" i="5"/>
  <c r="I677" i="5"/>
  <c r="J677" i="5"/>
  <c r="K677" i="5"/>
  <c r="L677" i="5"/>
  <c r="M677" i="5"/>
  <c r="N677" i="5"/>
  <c r="G677" i="5"/>
  <c r="H680" i="5"/>
  <c r="I680" i="5"/>
  <c r="J680" i="5"/>
  <c r="K680" i="5"/>
  <c r="L680" i="5"/>
  <c r="M680" i="5"/>
  <c r="N680" i="5"/>
  <c r="G680" i="5"/>
  <c r="J692" i="5"/>
  <c r="L692" i="5"/>
  <c r="M692" i="5"/>
  <c r="N692" i="5"/>
  <c r="I692" i="5"/>
  <c r="H692" i="5"/>
  <c r="G692" i="5"/>
  <c r="K693" i="5"/>
  <c r="K692" i="5" s="1"/>
  <c r="L693" i="5"/>
  <c r="M693" i="5"/>
  <c r="N693" i="5"/>
  <c r="H693" i="5"/>
  <c r="I693" i="5"/>
  <c r="J693" i="5"/>
  <c r="G693" i="5"/>
  <c r="H705" i="5"/>
  <c r="I705" i="5"/>
  <c r="J705" i="5"/>
  <c r="K705" i="5"/>
  <c r="L705" i="5"/>
  <c r="M705" i="5"/>
  <c r="N705" i="5"/>
  <c r="G705" i="5"/>
  <c r="H712" i="5"/>
  <c r="I712" i="5"/>
  <c r="J712" i="5"/>
  <c r="G712" i="5"/>
  <c r="H713" i="5"/>
  <c r="I713" i="5"/>
  <c r="J713" i="5"/>
  <c r="L713" i="5"/>
  <c r="M713" i="5"/>
  <c r="N713" i="5"/>
  <c r="G713" i="5"/>
  <c r="K714" i="5"/>
  <c r="L714" i="5"/>
  <c r="M714" i="5"/>
  <c r="N714" i="5"/>
  <c r="H714" i="5"/>
  <c r="I714" i="5"/>
  <c r="J714" i="5"/>
  <c r="G714" i="5"/>
  <c r="H728" i="5"/>
  <c r="I728" i="5"/>
  <c r="J728" i="5"/>
  <c r="K728" i="5"/>
  <c r="L728" i="5"/>
  <c r="M728" i="5"/>
  <c r="N728" i="5"/>
  <c r="G728" i="5"/>
  <c r="N731" i="5"/>
  <c r="K731" i="5"/>
  <c r="L731" i="5"/>
  <c r="M731" i="5"/>
  <c r="H731" i="5"/>
  <c r="I731" i="5"/>
  <c r="J731" i="5"/>
  <c r="G731" i="5"/>
  <c r="H743" i="5"/>
  <c r="I743" i="5"/>
  <c r="J743" i="5"/>
  <c r="K743" i="5"/>
  <c r="L743" i="5"/>
  <c r="M743" i="5"/>
  <c r="N743" i="5"/>
  <c r="G743" i="5"/>
  <c r="K744" i="5"/>
  <c r="L744" i="5"/>
  <c r="M744" i="5"/>
  <c r="N744" i="5"/>
  <c r="H744" i="5"/>
  <c r="I744" i="5"/>
  <c r="J744" i="5"/>
  <c r="G744" i="5"/>
  <c r="H753" i="5"/>
  <c r="I753" i="5"/>
  <c r="J753" i="5"/>
  <c r="K753" i="5"/>
  <c r="L753" i="5"/>
  <c r="M753" i="5"/>
  <c r="N753" i="5"/>
  <c r="G753" i="5"/>
  <c r="H757" i="5"/>
  <c r="I757" i="5"/>
  <c r="J757" i="5"/>
  <c r="K757" i="5"/>
  <c r="L757" i="5"/>
  <c r="M757" i="5"/>
  <c r="N757" i="5"/>
  <c r="G757" i="5"/>
  <c r="H758" i="5"/>
  <c r="I758" i="5"/>
  <c r="J758" i="5"/>
  <c r="K758" i="5"/>
  <c r="L758" i="5"/>
  <c r="M758" i="5"/>
  <c r="N758" i="5"/>
  <c r="G758" i="5"/>
  <c r="H769" i="5"/>
  <c r="I769" i="5"/>
  <c r="J769" i="5"/>
  <c r="K769" i="5"/>
  <c r="L769" i="5"/>
  <c r="M769" i="5"/>
  <c r="N769" i="5"/>
  <c r="G769" i="5"/>
  <c r="K771" i="5"/>
  <c r="L771" i="5"/>
  <c r="M771" i="5"/>
  <c r="N771" i="5"/>
  <c r="H771" i="5"/>
  <c r="I771" i="5"/>
  <c r="J771" i="5"/>
  <c r="G771" i="5"/>
  <c r="K772" i="5"/>
  <c r="L772" i="5"/>
  <c r="M772" i="5"/>
  <c r="N772" i="5"/>
  <c r="H772" i="5"/>
  <c r="I772" i="5"/>
  <c r="J772" i="5"/>
  <c r="G772" i="5"/>
  <c r="K778" i="5"/>
  <c r="L778" i="5"/>
  <c r="M778" i="5"/>
  <c r="N778" i="5"/>
  <c r="H778" i="5"/>
  <c r="I778" i="5"/>
  <c r="J778" i="5"/>
  <c r="G778" i="5"/>
  <c r="N773" i="5"/>
  <c r="K773" i="5"/>
  <c r="L773" i="5"/>
  <c r="M773" i="5"/>
  <c r="H773" i="5"/>
  <c r="I773" i="5"/>
  <c r="J773" i="5"/>
  <c r="G773" i="5"/>
  <c r="N780" i="5"/>
  <c r="K780" i="5"/>
  <c r="L780" i="5"/>
  <c r="M780" i="5"/>
  <c r="H780" i="5"/>
  <c r="I780" i="5"/>
  <c r="J780" i="5"/>
  <c r="G780" i="5"/>
  <c r="N787" i="5"/>
  <c r="K787" i="5"/>
  <c r="L787" i="5"/>
  <c r="M787" i="5"/>
  <c r="H787" i="5"/>
  <c r="I787" i="5"/>
  <c r="J787" i="5"/>
  <c r="G787" i="5"/>
  <c r="N788" i="5"/>
  <c r="K788" i="5"/>
  <c r="L788" i="5"/>
  <c r="M788" i="5"/>
  <c r="J788" i="5"/>
  <c r="I788" i="5"/>
  <c r="H788" i="5"/>
  <c r="G788" i="5"/>
  <c r="I799" i="5"/>
  <c r="J799" i="5"/>
  <c r="K799" i="5"/>
  <c r="L799" i="5"/>
  <c r="M799" i="5"/>
  <c r="N799" i="5"/>
  <c r="H799" i="5"/>
  <c r="G799" i="5"/>
  <c r="N801" i="5"/>
  <c r="L801" i="5"/>
  <c r="M801" i="5"/>
  <c r="K801" i="5"/>
  <c r="H801" i="5"/>
  <c r="I801" i="5"/>
  <c r="J801" i="5"/>
  <c r="G801" i="5"/>
  <c r="K26" i="14"/>
  <c r="H10" i="14"/>
  <c r="I10" i="14"/>
  <c r="J10" i="14"/>
  <c r="K10" i="14"/>
  <c r="K19" i="14"/>
  <c r="J19" i="14"/>
  <c r="I19" i="14"/>
  <c r="J26" i="14"/>
  <c r="I26" i="14"/>
  <c r="H26" i="14"/>
  <c r="K34" i="14"/>
  <c r="J34" i="14"/>
  <c r="I34" i="14"/>
  <c r="H34" i="14"/>
  <c r="H38" i="14"/>
  <c r="I38" i="14"/>
  <c r="J38" i="14"/>
  <c r="K38" i="14"/>
  <c r="K44" i="14"/>
  <c r="J44" i="14"/>
  <c r="I44" i="14"/>
  <c r="H44" i="14"/>
  <c r="G9" i="14"/>
  <c r="F9" i="14"/>
  <c r="E9" i="14"/>
  <c r="D9" i="14"/>
  <c r="D2" i="13"/>
  <c r="K2" i="14"/>
  <c r="J2" i="14"/>
  <c r="I2" i="14"/>
  <c r="H2" i="14"/>
  <c r="G9" i="13"/>
  <c r="D9" i="13"/>
  <c r="K9" i="13"/>
  <c r="J9" i="13"/>
  <c r="I9" i="13"/>
  <c r="E2" i="13"/>
  <c r="F2" i="13"/>
  <c r="G2" i="13"/>
  <c r="H2" i="13"/>
  <c r="I2" i="13"/>
  <c r="J2" i="13"/>
  <c r="K2" i="13"/>
  <c r="K10" i="13"/>
  <c r="J10" i="13"/>
  <c r="I10" i="13"/>
  <c r="H10" i="13"/>
  <c r="F10" i="13"/>
  <c r="E10" i="13"/>
  <c r="D10" i="13"/>
  <c r="K17" i="13"/>
  <c r="J17" i="13"/>
  <c r="I17" i="13"/>
  <c r="H17" i="13"/>
  <c r="F17" i="13"/>
  <c r="F9" i="13" s="1"/>
  <c r="E17" i="13"/>
  <c r="D17" i="13"/>
  <c r="D24" i="13"/>
  <c r="E24" i="13"/>
  <c r="E9" i="13" s="1"/>
  <c r="F24" i="13"/>
  <c r="H24" i="13"/>
  <c r="I24" i="13"/>
  <c r="J24" i="13"/>
  <c r="K24" i="13"/>
  <c r="K28" i="13"/>
  <c r="J28" i="13"/>
  <c r="H28" i="13"/>
  <c r="I28" i="13"/>
  <c r="F28" i="13"/>
  <c r="E28" i="13"/>
  <c r="D28" i="13"/>
  <c r="L7" i="1"/>
  <c r="L8" i="1"/>
  <c r="K7" i="1"/>
  <c r="K8" i="1"/>
  <c r="J7" i="1"/>
  <c r="J8" i="1"/>
  <c r="I8" i="1"/>
  <c r="H7" i="1"/>
  <c r="H8" i="1"/>
  <c r="G7" i="1"/>
  <c r="G8" i="1"/>
  <c r="G9" i="1"/>
  <c r="H9" i="1"/>
  <c r="I9" i="1"/>
  <c r="J9" i="1"/>
  <c r="K9" i="1"/>
  <c r="L9" i="1"/>
  <c r="L12" i="1"/>
  <c r="K12" i="1"/>
  <c r="J12" i="1"/>
  <c r="I12" i="1"/>
  <c r="H12" i="1"/>
  <c r="G12" i="1"/>
  <c r="G14" i="1"/>
  <c r="H14" i="1"/>
  <c r="I14" i="1"/>
  <c r="I7" i="1" s="1"/>
  <c r="J14" i="1"/>
  <c r="K14" i="1"/>
  <c r="L14" i="1"/>
  <c r="L20" i="1"/>
  <c r="K20" i="1"/>
  <c r="J20" i="1"/>
  <c r="I20" i="1"/>
  <c r="H20" i="1"/>
  <c r="G20" i="1"/>
  <c r="G2" i="1"/>
  <c r="H2" i="1"/>
  <c r="I2" i="1"/>
  <c r="J2" i="1"/>
  <c r="K2" i="1"/>
  <c r="L2" i="1"/>
  <c r="L8" i="4"/>
  <c r="K8" i="4"/>
  <c r="J8" i="4"/>
  <c r="I8" i="4"/>
  <c r="H8" i="4"/>
  <c r="G8" i="4"/>
  <c r="F8" i="4"/>
  <c r="E8" i="4"/>
  <c r="E9" i="4"/>
  <c r="F9" i="4"/>
  <c r="G9" i="4"/>
  <c r="H9" i="4"/>
  <c r="I9" i="4"/>
  <c r="J9" i="4"/>
  <c r="K9" i="4"/>
  <c r="L9" i="4"/>
  <c r="L20" i="4"/>
  <c r="K20" i="4"/>
  <c r="J20" i="4"/>
  <c r="I20" i="4"/>
  <c r="H20" i="4"/>
  <c r="G20" i="4"/>
  <c r="F20" i="4"/>
  <c r="E20" i="4"/>
  <c r="E32" i="4"/>
  <c r="F32" i="4"/>
  <c r="G32" i="4"/>
  <c r="H32" i="4"/>
  <c r="I32" i="4"/>
  <c r="J32" i="4"/>
  <c r="K32" i="4"/>
  <c r="L32" i="4"/>
  <c r="L40" i="4"/>
  <c r="K40" i="4"/>
  <c r="J40" i="4"/>
  <c r="I40" i="4"/>
  <c r="H40" i="4"/>
  <c r="G40" i="4"/>
  <c r="F40" i="4"/>
  <c r="E40" i="4"/>
  <c r="L2" i="4"/>
  <c r="K2" i="4"/>
  <c r="H2" i="4"/>
  <c r="G2" i="4"/>
  <c r="F2" i="4"/>
  <c r="E2" i="4"/>
  <c r="M25" i="3"/>
  <c r="M26" i="3"/>
  <c r="L26" i="3"/>
  <c r="L25" i="3" s="1"/>
  <c r="J35" i="3"/>
  <c r="J33" i="3"/>
  <c r="J28" i="3"/>
  <c r="J50" i="3"/>
  <c r="I26" i="3"/>
  <c r="H26" i="3"/>
  <c r="G26" i="3"/>
  <c r="F26" i="3"/>
  <c r="F27" i="3"/>
  <c r="G27" i="3"/>
  <c r="H27" i="3"/>
  <c r="I27" i="3"/>
  <c r="J27" i="3"/>
  <c r="J26" i="3" s="1"/>
  <c r="K27" i="3"/>
  <c r="L27" i="3"/>
  <c r="M27" i="3"/>
  <c r="M28" i="3"/>
  <c r="L28" i="3"/>
  <c r="K28" i="3"/>
  <c r="I28" i="3"/>
  <c r="H28" i="3"/>
  <c r="G28" i="3"/>
  <c r="F28" i="3"/>
  <c r="F33" i="3"/>
  <c r="G33" i="3"/>
  <c r="H33" i="3"/>
  <c r="I33" i="3"/>
  <c r="K33" i="3"/>
  <c r="L33" i="3"/>
  <c r="M33" i="3"/>
  <c r="M35" i="3"/>
  <c r="L35" i="3"/>
  <c r="K35" i="3"/>
  <c r="I35" i="3"/>
  <c r="H35" i="3"/>
  <c r="G35" i="3"/>
  <c r="F35" i="3"/>
  <c r="F40" i="3"/>
  <c r="G40" i="3"/>
  <c r="H40" i="3"/>
  <c r="I40" i="3"/>
  <c r="J40" i="3"/>
  <c r="K40" i="3"/>
  <c r="L40" i="3"/>
  <c r="M40" i="3"/>
  <c r="M41" i="3"/>
  <c r="L41" i="3"/>
  <c r="K41" i="3"/>
  <c r="J41" i="3"/>
  <c r="I41" i="3"/>
  <c r="H41" i="3"/>
  <c r="G41" i="3"/>
  <c r="F41" i="3"/>
  <c r="F45" i="3"/>
  <c r="G45" i="3"/>
  <c r="H45" i="3"/>
  <c r="I45" i="3"/>
  <c r="J45" i="3"/>
  <c r="K45" i="3"/>
  <c r="L45" i="3"/>
  <c r="M45" i="3"/>
  <c r="M47" i="3"/>
  <c r="L47" i="3"/>
  <c r="K47" i="3"/>
  <c r="J47" i="3"/>
  <c r="I47" i="3"/>
  <c r="H47" i="3"/>
  <c r="G47" i="3"/>
  <c r="F47" i="3"/>
  <c r="F51" i="3"/>
  <c r="G51" i="3"/>
  <c r="H51" i="3"/>
  <c r="I51" i="3"/>
  <c r="J51" i="3"/>
  <c r="K51" i="3"/>
  <c r="L51" i="3"/>
  <c r="M51" i="3"/>
  <c r="M61" i="3"/>
  <c r="L61" i="3"/>
  <c r="K61" i="3"/>
  <c r="J61" i="3"/>
  <c r="I61" i="3"/>
  <c r="H61" i="3"/>
  <c r="G61" i="3"/>
  <c r="F61" i="3"/>
  <c r="F64" i="3"/>
  <c r="G64" i="3"/>
  <c r="H64" i="3"/>
  <c r="I64" i="3"/>
  <c r="J64" i="3"/>
  <c r="K64" i="3"/>
  <c r="L64" i="3"/>
  <c r="M64" i="3"/>
  <c r="M73" i="3"/>
  <c r="L73" i="3"/>
  <c r="K73" i="3"/>
  <c r="J73" i="3"/>
  <c r="I73" i="3"/>
  <c r="H73" i="3"/>
  <c r="G73" i="3"/>
  <c r="F73" i="3"/>
  <c r="F74" i="3"/>
  <c r="G74" i="3"/>
  <c r="H74" i="3"/>
  <c r="I74" i="3"/>
  <c r="J74" i="3"/>
  <c r="K74" i="3"/>
  <c r="L74" i="3"/>
  <c r="M74" i="3"/>
  <c r="M78" i="3"/>
  <c r="L78" i="3"/>
  <c r="K78" i="3"/>
  <c r="J78" i="3"/>
  <c r="I78" i="3"/>
  <c r="H78" i="3"/>
  <c r="G78" i="3"/>
  <c r="F78" i="3"/>
  <c r="F80" i="3"/>
  <c r="G80" i="3"/>
  <c r="H80" i="3"/>
  <c r="I80" i="3"/>
  <c r="J80" i="3"/>
  <c r="K80" i="3"/>
  <c r="L80" i="3"/>
  <c r="M80" i="3"/>
  <c r="M83" i="3"/>
  <c r="L83" i="3"/>
  <c r="K83" i="3"/>
  <c r="J83" i="3"/>
  <c r="I83" i="3"/>
  <c r="H83" i="3"/>
  <c r="G83" i="3"/>
  <c r="F83" i="3"/>
  <c r="M84" i="3"/>
  <c r="L84" i="3"/>
  <c r="K84" i="3"/>
  <c r="J84" i="3"/>
  <c r="I84" i="3"/>
  <c r="H84" i="3"/>
  <c r="G84" i="3"/>
  <c r="F84" i="3"/>
  <c r="F93" i="3"/>
  <c r="G93" i="3"/>
  <c r="H93" i="3"/>
  <c r="I93" i="3"/>
  <c r="J93" i="3"/>
  <c r="K93" i="3"/>
  <c r="L93" i="3"/>
  <c r="M93" i="3"/>
  <c r="M96" i="3"/>
  <c r="L96" i="3"/>
  <c r="K96" i="3"/>
  <c r="J96" i="3"/>
  <c r="I96" i="3"/>
  <c r="H96" i="3"/>
  <c r="G96" i="3"/>
  <c r="F96" i="3"/>
  <c r="M107" i="3"/>
  <c r="L107" i="3"/>
  <c r="K107" i="3"/>
  <c r="J107" i="3"/>
  <c r="I107" i="3"/>
  <c r="H107" i="3"/>
  <c r="G107" i="3"/>
  <c r="F107" i="3"/>
  <c r="M118" i="3"/>
  <c r="L118" i="3"/>
  <c r="K118" i="3"/>
  <c r="J118" i="3"/>
  <c r="I118" i="3"/>
  <c r="H118" i="3"/>
  <c r="G118" i="3"/>
  <c r="F118" i="3"/>
  <c r="M2" i="3"/>
  <c r="L2" i="3"/>
  <c r="K2" i="3"/>
  <c r="J2" i="3"/>
  <c r="I2" i="3"/>
  <c r="H2" i="3"/>
  <c r="G2" i="3"/>
  <c r="F2" i="3"/>
  <c r="G813" i="5"/>
  <c r="H813" i="5"/>
  <c r="I813" i="5"/>
  <c r="J813" i="5"/>
  <c r="K813" i="5"/>
  <c r="L813" i="5"/>
  <c r="M813" i="5"/>
  <c r="N813" i="5"/>
  <c r="N823" i="5"/>
  <c r="M823" i="5"/>
  <c r="L823" i="5"/>
  <c r="K823" i="5"/>
  <c r="J823" i="5"/>
  <c r="I823" i="5"/>
  <c r="H823" i="5"/>
  <c r="G823" i="5"/>
  <c r="G826" i="5"/>
  <c r="H826" i="5"/>
  <c r="I826" i="5"/>
  <c r="K826" i="5"/>
  <c r="L826" i="5"/>
  <c r="M826" i="5"/>
  <c r="N826" i="5"/>
  <c r="G834" i="5"/>
  <c r="H834" i="5"/>
  <c r="I834" i="5"/>
  <c r="J834" i="5"/>
  <c r="K834" i="5"/>
  <c r="L834" i="5"/>
  <c r="M834" i="5"/>
  <c r="N834" i="5"/>
  <c r="N838" i="5"/>
  <c r="M838" i="5"/>
  <c r="L838" i="5"/>
  <c r="K838" i="5"/>
  <c r="J838" i="5"/>
  <c r="I838" i="5"/>
  <c r="H838" i="5"/>
  <c r="G838" i="5"/>
  <c r="L841" i="5"/>
  <c r="K841" i="5"/>
  <c r="I841" i="5"/>
  <c r="H841" i="5"/>
  <c r="G841" i="5"/>
  <c r="N841" i="5"/>
  <c r="G901" i="5"/>
  <c r="H901" i="5"/>
  <c r="I901" i="5"/>
  <c r="J901" i="5"/>
  <c r="N904" i="5"/>
  <c r="N900" i="5" s="1"/>
  <c r="M904" i="5"/>
  <c r="M900" i="5" s="1"/>
  <c r="L904" i="5"/>
  <c r="L901" i="5"/>
  <c r="K901" i="5"/>
  <c r="K904" i="5"/>
  <c r="J904" i="5"/>
  <c r="I904" i="5"/>
  <c r="I900" i="5" s="1"/>
  <c r="H904" i="5"/>
  <c r="G904" i="5"/>
  <c r="K713" i="5" l="1"/>
  <c r="K438" i="5"/>
  <c r="K226" i="5"/>
  <c r="K181" i="5"/>
  <c r="L156" i="5"/>
  <c r="K315" i="5"/>
  <c r="K499" i="5"/>
  <c r="K663" i="5"/>
  <c r="L833" i="5"/>
  <c r="K833" i="5"/>
  <c r="I812" i="5"/>
  <c r="H812" i="5"/>
  <c r="H833" i="5"/>
  <c r="H900" i="5"/>
  <c r="N812" i="5"/>
  <c r="N833" i="5"/>
  <c r="M812" i="5"/>
  <c r="K900" i="5"/>
  <c r="M833" i="5"/>
  <c r="L812" i="5"/>
  <c r="K812" i="5"/>
  <c r="J833" i="5"/>
  <c r="I833" i="5"/>
  <c r="J900" i="5"/>
  <c r="G812" i="5"/>
  <c r="G833" i="5"/>
  <c r="G900" i="5"/>
  <c r="H9" i="13"/>
  <c r="L900" i="5"/>
  <c r="K156" i="5" l="1"/>
  <c r="H11" i="15"/>
  <c r="I27" i="15"/>
  <c r="L7" i="4" l="1"/>
  <c r="K7" i="4"/>
  <c r="I10" i="15" l="1"/>
  <c r="I11" i="15"/>
  <c r="I31" i="15"/>
  <c r="I45" i="15"/>
  <c r="I47" i="15"/>
  <c r="I48" i="15"/>
  <c r="I49" i="15"/>
  <c r="I46" i="15"/>
  <c r="I33" i="15"/>
  <c r="I34" i="15"/>
  <c r="I35" i="15"/>
  <c r="I36" i="15"/>
  <c r="I37" i="15"/>
  <c r="I38" i="15"/>
  <c r="I39" i="15"/>
  <c r="I40" i="15"/>
  <c r="I41" i="15"/>
  <c r="I42" i="15"/>
  <c r="I43" i="15"/>
  <c r="I44" i="15"/>
  <c r="I32" i="15"/>
  <c r="I29" i="15"/>
  <c r="I30" i="15"/>
  <c r="I28" i="15"/>
  <c r="I15" i="15"/>
  <c r="I16" i="15"/>
  <c r="I17" i="15"/>
  <c r="I18" i="15"/>
  <c r="I19" i="15"/>
  <c r="I20" i="15"/>
  <c r="I21" i="15"/>
  <c r="I22" i="15"/>
  <c r="I23" i="15"/>
  <c r="I24" i="15"/>
  <c r="I25" i="15"/>
  <c r="I26" i="15"/>
  <c r="I14" i="15"/>
  <c r="I13" i="15"/>
  <c r="I12" i="15"/>
  <c r="H10" i="15"/>
  <c r="G10" i="15"/>
  <c r="J45" i="15"/>
  <c r="J10" i="15" s="1"/>
  <c r="H45" i="15"/>
  <c r="G45" i="15"/>
  <c r="J31" i="15"/>
  <c r="H31" i="15"/>
  <c r="G31" i="15"/>
  <c r="F27" i="15"/>
  <c r="J27" i="15"/>
  <c r="H27" i="15"/>
  <c r="G27" i="15"/>
  <c r="K2" i="15"/>
  <c r="J2" i="15"/>
  <c r="I2" i="15"/>
  <c r="H2" i="15"/>
  <c r="I34" i="13"/>
  <c r="G2" i="15"/>
  <c r="F2" i="15"/>
  <c r="E2" i="15"/>
  <c r="D2" i="15"/>
  <c r="J7" i="4"/>
  <c r="J2" i="4"/>
  <c r="K25" i="3"/>
  <c r="F45" i="15"/>
  <c r="F31" i="15"/>
  <c r="F11" i="15"/>
  <c r="F10" i="15" l="1"/>
  <c r="I7" i="4" l="1"/>
  <c r="I2" i="4"/>
  <c r="J25" i="3"/>
  <c r="C3" i="11" l="1"/>
  <c r="H21" i="1"/>
  <c r="F116" i="3"/>
  <c r="J166" i="5" l="1"/>
  <c r="J168" i="5"/>
  <c r="J175" i="5"/>
  <c r="J177" i="5"/>
  <c r="J178" i="5"/>
  <c r="J179" i="5"/>
  <c r="J187" i="5"/>
  <c r="J191" i="5"/>
  <c r="J192" i="5"/>
  <c r="J194" i="5"/>
  <c r="J200" i="5"/>
  <c r="J204" i="5"/>
  <c r="J207" i="5"/>
  <c r="J210" i="5"/>
  <c r="J211" i="5"/>
  <c r="J212" i="5"/>
  <c r="J221" i="5"/>
  <c r="J222" i="5"/>
  <c r="J223" i="5"/>
  <c r="J224" i="5"/>
  <c r="J228" i="5"/>
  <c r="J232" i="5"/>
  <c r="J233" i="5"/>
  <c r="J236" i="5"/>
  <c r="J244" i="5"/>
  <c r="J247" i="5"/>
  <c r="J248" i="5"/>
  <c r="J265" i="5"/>
  <c r="J269" i="5"/>
  <c r="J278" i="5"/>
  <c r="J279" i="5"/>
  <c r="J280" i="5"/>
  <c r="J281" i="5"/>
  <c r="J282" i="5"/>
  <c r="J290" i="5"/>
  <c r="J292" i="5"/>
  <c r="J309" i="5"/>
  <c r="J310" i="5"/>
  <c r="J311" i="5"/>
  <c r="J313" i="5"/>
  <c r="J325" i="5"/>
  <c r="J326" i="5"/>
  <c r="J327" i="5"/>
  <c r="J328" i="5"/>
  <c r="J329" i="5"/>
  <c r="J336" i="5"/>
  <c r="J339" i="5"/>
  <c r="J342" i="5"/>
  <c r="J343" i="5"/>
  <c r="J347" i="5"/>
  <c r="J367" i="5"/>
  <c r="J368" i="5"/>
  <c r="J370" i="5"/>
  <c r="J382" i="5"/>
  <c r="J383" i="5"/>
  <c r="J384" i="5"/>
  <c r="J386" i="5"/>
  <c r="J393" i="5"/>
  <c r="J396" i="5"/>
  <c r="J419" i="5"/>
  <c r="J420" i="5"/>
  <c r="J422" i="5"/>
  <c r="J434" i="5"/>
  <c r="J436" i="5"/>
  <c r="J445" i="5"/>
  <c r="J446" i="5"/>
  <c r="J448" i="5"/>
  <c r="J472" i="5"/>
  <c r="J473" i="5"/>
  <c r="J474" i="5"/>
  <c r="J476" i="5"/>
  <c r="J491" i="5"/>
  <c r="J492" i="5"/>
  <c r="J496" i="5"/>
  <c r="J510" i="5"/>
  <c r="J511" i="5"/>
  <c r="J512" i="5"/>
  <c r="J514" i="5"/>
  <c r="J533" i="5"/>
  <c r="J552" i="5"/>
  <c r="J553" i="5"/>
  <c r="J570" i="5"/>
  <c r="J590" i="5"/>
  <c r="J591" i="5"/>
  <c r="J592" i="5"/>
  <c r="J593" i="5"/>
  <c r="J611" i="5"/>
  <c r="J625" i="5"/>
  <c r="J653" i="5"/>
  <c r="J656" i="5"/>
  <c r="J679" i="5"/>
  <c r="J681" i="5"/>
  <c r="J682" i="5"/>
  <c r="J683" i="5"/>
  <c r="J684" i="5"/>
  <c r="J685" i="5"/>
  <c r="J686" i="5"/>
  <c r="J687" i="5"/>
  <c r="J688" i="5"/>
  <c r="J689" i="5"/>
  <c r="J707" i="5"/>
  <c r="J708" i="5"/>
  <c r="J709" i="5"/>
  <c r="J711" i="5"/>
  <c r="J729" i="5"/>
  <c r="J730" i="5"/>
  <c r="J732" i="5"/>
  <c r="J733" i="5"/>
  <c r="J734" i="5"/>
  <c r="J736" i="5"/>
  <c r="J737" i="5"/>
  <c r="J738" i="5"/>
  <c r="J740" i="5"/>
  <c r="J781" i="5"/>
  <c r="J782" i="5"/>
  <c r="J785" i="5"/>
  <c r="J802" i="5"/>
  <c r="J803" i="5"/>
  <c r="J804" i="5"/>
  <c r="J808" i="5"/>
  <c r="J828" i="5"/>
  <c r="J831" i="5"/>
  <c r="J844" i="5"/>
  <c r="J884" i="5"/>
  <c r="J887" i="5"/>
  <c r="J892" i="5"/>
  <c r="J826" i="5" l="1"/>
  <c r="J812" i="5" s="1"/>
  <c r="J841" i="5"/>
  <c r="H22" i="4"/>
  <c r="H23" i="4"/>
  <c r="H24" i="4"/>
  <c r="E9" i="1"/>
  <c r="I49" i="3"/>
  <c r="I67" i="3"/>
  <c r="I69" i="3"/>
  <c r="I95" i="3"/>
  <c r="I97" i="3"/>
  <c r="I98" i="3"/>
  <c r="I99" i="3"/>
  <c r="I100" i="3"/>
  <c r="I101" i="3"/>
  <c r="I103" i="3"/>
  <c r="I105" i="3"/>
  <c r="F9" i="1"/>
  <c r="H13" i="1"/>
</calcChain>
</file>

<file path=xl/sharedStrings.xml><?xml version="1.0" encoding="utf-8"?>
<sst xmlns="http://schemas.openxmlformats.org/spreadsheetml/2006/main" count="1341" uniqueCount="556">
  <si>
    <t>2020-2021
FY21 Actual</t>
  </si>
  <si>
    <t>2021-2022
FY22 Actual</t>
  </si>
  <si>
    <t>2022-2023
FY23 Actual</t>
  </si>
  <si>
    <t>2023-2024
FY24 Actual</t>
  </si>
  <si>
    <t>Revenues</t>
  </si>
  <si>
    <t>Surpluses &amp; Balances</t>
  </si>
  <si>
    <t>Unreserved, Undesignated</t>
  </si>
  <si>
    <t>Real Property Tax Items</t>
  </si>
  <si>
    <t>410010 School District Tax Buyout</t>
  </si>
  <si>
    <t>410020 Special Lighting Assessments</t>
  </si>
  <si>
    <t>410030 Assessable Improvements</t>
  </si>
  <si>
    <t>410040 Assessable Improvements Buyout</t>
  </si>
  <si>
    <t>410800 Abatement Fund Revenue</t>
  </si>
  <si>
    <t>410810 PILOT - Non-Profit Houses</t>
  </si>
  <si>
    <t>410830 PILOT - Ontrack</t>
  </si>
  <si>
    <t>410840 PILOT - SIDA</t>
  </si>
  <si>
    <t>410850 PILOT - SU DOME</t>
  </si>
  <si>
    <t>410500 Prior Years' Tax Collection</t>
  </si>
  <si>
    <t>410900 Fees &amp; Penalties</t>
  </si>
  <si>
    <t>425940 Light Works Infrastructure Payment</t>
  </si>
  <si>
    <t>Less: Uncollected City Taxes - Current Year</t>
  </si>
  <si>
    <t>Non-Property Tax Items</t>
  </si>
  <si>
    <t>411100 Sales Tax</t>
  </si>
  <si>
    <t>411300 Utilities Gross Receipts Tax</t>
  </si>
  <si>
    <t>411500 Room Occupancy Tax Rate</t>
  </si>
  <si>
    <t>411700 CATV Franchise Fee</t>
  </si>
  <si>
    <t>411710 Right of Way Franchise Fee</t>
  </si>
  <si>
    <t>425910 SU Service Agreement</t>
  </si>
  <si>
    <t>425920 SU Service - Supplemental</t>
  </si>
  <si>
    <t>415900 SU DOME Traffic Reimbursement</t>
  </si>
  <si>
    <t>411400 Cannabis Tax</t>
  </si>
  <si>
    <t>Departmental Income</t>
  </si>
  <si>
    <t>Department of Finance</t>
  </si>
  <si>
    <t>412300 Abstract Fees</t>
  </si>
  <si>
    <t>412310 Duplicate Tax Bill Fee</t>
  </si>
  <si>
    <t>412320 County Tax Collection Fee</t>
  </si>
  <si>
    <t>415800 Parking Restitution Surcharge</t>
  </si>
  <si>
    <t>415810 Handicapped Parking Surcharge</t>
  </si>
  <si>
    <t>425400 License Comm. Bingo Licenses</t>
  </si>
  <si>
    <t>425410 Bingo Receipts</t>
  </si>
  <si>
    <t>425420 License Comm. Games of Chance Receipts</t>
  </si>
  <si>
    <t>425450 Licenses</t>
  </si>
  <si>
    <t>425470 Licenses Comm. Games of Chance Licenses</t>
  </si>
  <si>
    <t>425750 Administrative Adjudication Receipts</t>
  </si>
  <si>
    <t>425950 Service Kill Fees</t>
  </si>
  <si>
    <t>426100 Fines &amp; Penalties Viol/Traffic</t>
  </si>
  <si>
    <t>426102 School Bus Arm Violation</t>
  </si>
  <si>
    <t>426104 School Zone Speed Violation</t>
  </si>
  <si>
    <t>426106 School Zone Red Light Violation</t>
  </si>
  <si>
    <t>426610 Sale of Tax Property</t>
  </si>
  <si>
    <t>427500 Parking Ticket Receipts</t>
  </si>
  <si>
    <t>427520 PVB Court Costs/Charges</t>
  </si>
  <si>
    <t>427710 Returned Check Fees</t>
  </si>
  <si>
    <t>427700 Misc. Receipts</t>
  </si>
  <si>
    <t>Office of the City Clerk</t>
  </si>
  <si>
    <t>412550 City Clerk Licenses</t>
  </si>
  <si>
    <t xml:space="preserve">Division of Code Enforcement
</t>
  </si>
  <si>
    <t>415600 Building Inspection Charges</t>
  </si>
  <si>
    <t>415650 Boardup/Cleanup Charges</t>
  </si>
  <si>
    <t>415660 Cleanup Charges</t>
  </si>
  <si>
    <t>415700 DEMO Charges - Unsafe Building</t>
  </si>
  <si>
    <t>415870 Vacant Property Registry</t>
  </si>
  <si>
    <t>415890 Rental Registry Fees</t>
  </si>
  <si>
    <t>417441 Small Cell Permits</t>
  </si>
  <si>
    <t>422600 Code Enforcement Reimburse-Outside Agencies</t>
  </si>
  <si>
    <t>425500 Building &amp; Property Permits</t>
  </si>
  <si>
    <t>425560 Certificate of Compliance</t>
  </si>
  <si>
    <t>425570 Board of Zoning - Appeals</t>
  </si>
  <si>
    <t>425700 Building &amp; Property Rehab Electric Lic</t>
  </si>
  <si>
    <t>425710 Building &amp; Property Heating Lic</t>
  </si>
  <si>
    <t>425720 Building &amp; Property Elevator Permits</t>
  </si>
  <si>
    <t>425480 Certificates of Use</t>
  </si>
  <si>
    <t xml:space="preserve">Department of Parks, Recreation &amp; Youth Programs
</t>
  </si>
  <si>
    <t>420000 Festival Beverage Revenue</t>
  </si>
  <si>
    <t>420010 P &amp; R Fee &amp; Concessions</t>
  </si>
  <si>
    <t>420020 Clinton Square Rink Fees</t>
  </si>
  <si>
    <t>420250 P &amp; R Ballfield Fees</t>
  </si>
  <si>
    <t>420120 P &amp; R Reimbursement - Outside Agency</t>
  </si>
  <si>
    <t>426110 P &amp; R Animal Control Fines</t>
  </si>
  <si>
    <t>Department of Fire</t>
  </si>
  <si>
    <t>415380 Fire Reimbursement - Ouside Agencies</t>
  </si>
  <si>
    <t>415400 Fire- Reports &amp; Records</t>
  </si>
  <si>
    <t>422620 EMS Reimbursement - New York State</t>
  </si>
  <si>
    <t>415300 Fire Ambulance Billing</t>
  </si>
  <si>
    <t>Department of Police</t>
  </si>
  <si>
    <t>415200 Police Reports, Records &amp; Fingerprints</t>
  </si>
  <si>
    <t>415940 Police Auctioned Evidence</t>
  </si>
  <si>
    <t>412110 City Court Criminal Div</t>
  </si>
  <si>
    <t>415880 Annual Alarm Fee</t>
  </si>
  <si>
    <t>415910 Police Services - Outside Agencies</t>
  </si>
  <si>
    <t>415930 Police Training Classes Rev</t>
  </si>
  <si>
    <t>415950 Police Unclaimed Property</t>
  </si>
  <si>
    <t>427150 City Court Bail Forfeitures</t>
  </si>
  <si>
    <t>Department of Law</t>
  </si>
  <si>
    <t>412200 Housing Court Fines</t>
  </si>
  <si>
    <t>421350 Law Department Reimbursements</t>
  </si>
  <si>
    <t>Department of Public Works</t>
  </si>
  <si>
    <t>415670 Setout Charges</t>
  </si>
  <si>
    <t>417100 DPW Charges for Services</t>
  </si>
  <si>
    <t>417110 DPW Paving Cuts - Non-Refund</t>
  </si>
  <si>
    <t>417120 DPW Charges - Outside Agencies</t>
  </si>
  <si>
    <t>417140 DPW Liability Waiver Permit</t>
  </si>
  <si>
    <t>417150 DPW Block Party Revenue</t>
  </si>
  <si>
    <t>417200 Parking Lots</t>
  </si>
  <si>
    <t>417270 Fayette St Garage</t>
  </si>
  <si>
    <t>417280 Madison Irving Garage</t>
  </si>
  <si>
    <t>417290 Harrison St Garage</t>
  </si>
  <si>
    <t>417310 Washington St Garage</t>
  </si>
  <si>
    <t>417320 Armory Square Garage</t>
  </si>
  <si>
    <t>417330 ONCenter Parking Garage</t>
  </si>
  <si>
    <t>417340 MONY Parking Garage</t>
  </si>
  <si>
    <t>417400 Parking Meter Receipts</t>
  </si>
  <si>
    <t>417420 DPW Loading Zone Permits</t>
  </si>
  <si>
    <t>417421 Overweight/Size Vehicle Permit</t>
  </si>
  <si>
    <t>417430 DPW Sidewalk Permits</t>
  </si>
  <si>
    <t>417440 DPW Sidewalk Cafe Permits</t>
  </si>
  <si>
    <t>421300 Recycling Revenues</t>
  </si>
  <si>
    <t>421310 Refuse &amp; Garbage Charges</t>
  </si>
  <si>
    <t>423010 DPW Charges - Other Gov't</t>
  </si>
  <si>
    <t>427730 Parking Garage Registration</t>
  </si>
  <si>
    <t xml:space="preserve">Department of Assessment
</t>
  </si>
  <si>
    <t>426620 Title Work</t>
  </si>
  <si>
    <t>426630 Appraisal Fees</t>
  </si>
  <si>
    <t>Use of Money &amp; Property</t>
  </si>
  <si>
    <t>424010 Interest of Deposits</t>
  </si>
  <si>
    <t>424020 Bankruptcy Fees</t>
  </si>
  <si>
    <t>424100 Rental of Real Property</t>
  </si>
  <si>
    <t>424140 Rental of Equipment</t>
  </si>
  <si>
    <t>457100 Proceeds From Serial Bonds</t>
  </si>
  <si>
    <t>Sale of Property</t>
  </si>
  <si>
    <t>426500 Sale of Scrap Equipment</t>
  </si>
  <si>
    <t>426750 Gain on Disposal of Assets</t>
  </si>
  <si>
    <t>State Aid</t>
  </si>
  <si>
    <t>430000 State Aid - Misc</t>
  </si>
  <si>
    <t>430050 State Aid - Mortgage Tax</t>
  </si>
  <si>
    <t>430080 State Aid - State Highway Aid</t>
  </si>
  <si>
    <t>438200 State Aid - Youth Projects</t>
  </si>
  <si>
    <t>435210 AIM State Aid</t>
  </si>
  <si>
    <t>435209 Temporary AIM Aid</t>
  </si>
  <si>
    <t>435100 State Aid - Highway Maint</t>
  </si>
  <si>
    <t>Federal Aid</t>
  </si>
  <si>
    <t>Federal American Relief Plan</t>
  </si>
  <si>
    <t>Miscellaneous Revenue</t>
  </si>
  <si>
    <t>423040 Onondaga County Lighting Reimbursement</t>
  </si>
  <si>
    <t>426550 Bid &amp; Specs Revenue</t>
  </si>
  <si>
    <t>426800 Insurance Recoveries</t>
  </si>
  <si>
    <t>426900 Misc Compensation for Loss</t>
  </si>
  <si>
    <t>427000 Medicare Part D Subsidy</t>
  </si>
  <si>
    <t>428010 Aviation Fund Reimbursements</t>
  </si>
  <si>
    <t>450350 Transfer from - Water Fund</t>
  </si>
  <si>
    <t>450360 Transfer from - Sewer Fund</t>
  </si>
  <si>
    <t>427110 Premium on Bonds/RANs</t>
  </si>
  <si>
    <t>450312 Transfer from - Municipal Sidewalks</t>
  </si>
  <si>
    <t>450370 Transfer from - Capital Fund</t>
  </si>
  <si>
    <t>Tax Levy</t>
  </si>
  <si>
    <t>1% Added Pursuant to Law</t>
  </si>
  <si>
    <t>Expenses</t>
  </si>
  <si>
    <t>Departmental Operating Expenditures</t>
  </si>
  <si>
    <t>Common Council</t>
  </si>
  <si>
    <t>Personal Services</t>
  </si>
  <si>
    <t>510100 Salaries</t>
  </si>
  <si>
    <t>510300 Temporary Services-P/T</t>
  </si>
  <si>
    <t xml:space="preserve">Equipment </t>
  </si>
  <si>
    <t>520200 Office Equipment &amp; Furnishings</t>
  </si>
  <si>
    <t xml:space="preserve">Contractual &amp; Other Expenses
</t>
  </si>
  <si>
    <t>540300 Office Supplies</t>
  </si>
  <si>
    <t>540500 Operating Supplies &amp; Expenses</t>
  </si>
  <si>
    <t>541500 Professional Services</t>
  </si>
  <si>
    <t>541600 Travel, Training &amp; Development</t>
  </si>
  <si>
    <t>Citizen Review Board</t>
  </si>
  <si>
    <t>Contractual &amp; Other Expenses</t>
  </si>
  <si>
    <t xml:space="preserve">Executive </t>
  </si>
  <si>
    <t>510900 Out of Title Pay</t>
  </si>
  <si>
    <t>519100 Less: Reimbursement from Other Funds</t>
  </si>
  <si>
    <t>519900 Less: Offset From Special Grant Sources</t>
  </si>
  <si>
    <t>541700 Contracted Services-Related Parties</t>
  </si>
  <si>
    <t>541800 Postage &amp; Freight</t>
  </si>
  <si>
    <t>549100 Less: Reimbursements from Other Funds</t>
  </si>
  <si>
    <t>541100 Utilities</t>
  </si>
  <si>
    <t>510400 Overtime Wages</t>
  </si>
  <si>
    <t xml:space="preserve">510300 Temporary Services-P/T   </t>
  </si>
  <si>
    <t>Equipment</t>
  </si>
  <si>
    <r>
      <rPr>
        <b/>
        <i/>
        <sz val="10"/>
        <rFont val="Arial"/>
        <family val="2"/>
      </rPr>
      <t xml:space="preserve">Contractual &amp; Other Expenses
</t>
    </r>
    <r>
      <rPr>
        <i/>
        <sz val="10"/>
        <rFont val="Arial"/>
        <family val="2"/>
      </rPr>
      <t>540300 Office Supplies</t>
    </r>
  </si>
  <si>
    <t xml:space="preserve">Personal Services
</t>
  </si>
  <si>
    <t>510600 Car Allowance</t>
  </si>
  <si>
    <r>
      <rPr>
        <b/>
        <i/>
        <sz val="10"/>
        <rFont val="Arial"/>
        <family val="2"/>
      </rPr>
      <t xml:space="preserve">Equipment
</t>
    </r>
    <r>
      <rPr>
        <i/>
        <sz val="10"/>
        <rFont val="Arial"/>
        <family val="2"/>
      </rPr>
      <t>520200 Office Equipment &amp; Furnishings</t>
    </r>
  </si>
  <si>
    <t>520600 Operating Equipment</t>
  </si>
  <si>
    <t>540700 Equipment Repair, Supplies &amp; Services</t>
  </si>
  <si>
    <r>
      <rPr>
        <b/>
        <i/>
        <sz val="10"/>
        <rFont val="Arial"/>
        <family val="2"/>
      </rPr>
      <t xml:space="preserve">Personal Services
</t>
    </r>
    <r>
      <rPr>
        <i/>
        <sz val="10"/>
        <rFont val="Arial"/>
        <family val="2"/>
      </rPr>
      <t>510100 Salaries</t>
    </r>
  </si>
  <si>
    <t>543000 Payments to Other Governments</t>
  </si>
  <si>
    <t>Office of the City Auditor</t>
  </si>
  <si>
    <t>City Clerk's Office</t>
  </si>
  <si>
    <t>519300 Less: Reimbursement from Sweeping &amp; Flushing</t>
  </si>
  <si>
    <t>Board of Zoning Appeals</t>
  </si>
  <si>
    <t>Department of Neighborhood &amp; Business Development</t>
  </si>
  <si>
    <t>Division of Minority Affairs</t>
  </si>
  <si>
    <t>511000 Uniform Allowance</t>
  </si>
  <si>
    <t>540800 Uniforms</t>
  </si>
  <si>
    <t>Department of Engineering</t>
  </si>
  <si>
    <t>Department of Public Works</t>
  </si>
  <si>
    <t>519000 Out of Title Pay</t>
  </si>
  <si>
    <t>510200 Wages- F/T Weekly</t>
  </si>
  <si>
    <t>510700 Night Shift Differential</t>
  </si>
  <si>
    <t>511200 Contractual Obligations</t>
  </si>
  <si>
    <r>
      <rPr>
        <b/>
        <i/>
        <sz val="10"/>
        <rFont val="Arial"/>
        <family val="2"/>
      </rPr>
      <t xml:space="preserve">Contractual &amp; Other Expenses
</t>
    </r>
    <r>
      <rPr>
        <i/>
        <sz val="10"/>
        <rFont val="Arial"/>
        <family val="2"/>
      </rPr>
      <t>540500 Operating Supplies &amp; Expenses</t>
    </r>
  </si>
  <si>
    <t>510800 Tool Allowance</t>
  </si>
  <si>
    <t>519700 Less: Reimbursement from Street Reconstruction</t>
  </si>
  <si>
    <t>540100 Motor Equipment Operating Supplies</t>
  </si>
  <si>
    <t>540200 Motor Equipment Repair Supplies &amp; Services</t>
  </si>
  <si>
    <t>549300 Less: Reimbursements from Sweeping &amp; Flushing</t>
  </si>
  <si>
    <t>549700 Less: Reimbursements from Street Reconstruction</t>
  </si>
  <si>
    <t>Police Field Services - Sworn</t>
  </si>
  <si>
    <t>510500 Holiday Pay</t>
  </si>
  <si>
    <t>511100 Vaulted Pay</t>
  </si>
  <si>
    <t>511300 Sick Time Buy Back</t>
  </si>
  <si>
    <t>511500 Police/ Fire Injured on Duty</t>
  </si>
  <si>
    <t xml:space="preserve">Contractual &amp; Other Expenses </t>
  </si>
  <si>
    <t>542500 Police Training Classes</t>
  </si>
  <si>
    <t>511600 Medical Certification</t>
  </si>
  <si>
    <t>542100 EMS Training Expenditures</t>
  </si>
  <si>
    <t>Fire Air Craft Rescue</t>
  </si>
  <si>
    <t>Department of Parks, Recreation &amp; Youth Programs</t>
  </si>
  <si>
    <t>542000 Clinton Square Maintenance</t>
  </si>
  <si>
    <t>Special Objects of Expense</t>
  </si>
  <si>
    <t>596220 Blighted Property Maintenance</t>
  </si>
  <si>
    <t>593620 Printing &amp; Advertising</t>
  </si>
  <si>
    <t>593260 Fiscal Services</t>
  </si>
  <si>
    <t>596700 Postage</t>
  </si>
  <si>
    <t>594310 Labor Relations Expense</t>
  </si>
  <si>
    <t>599100 Unallocated Insurance</t>
  </si>
  <si>
    <t>599200 Conf &amp; Assoc Dues</t>
  </si>
  <si>
    <t>599309 Trauma Response</t>
  </si>
  <si>
    <t>599310 Tax Certiorari</t>
  </si>
  <si>
    <t>599500 City Share of Local Assessment</t>
  </si>
  <si>
    <t>599600 City Share of Tax Deeds</t>
  </si>
  <si>
    <t>599890 External Auditors</t>
  </si>
  <si>
    <t>599891 Financial Management System</t>
  </si>
  <si>
    <t>599892 Special Audit Services</t>
  </si>
  <si>
    <t>599893 GASB45 Actuarial Valuation</t>
  </si>
  <si>
    <t>599897 JSCB Expenses</t>
  </si>
  <si>
    <t>594500 Onondaga Historical Association</t>
  </si>
  <si>
    <t>595500 Public Events</t>
  </si>
  <si>
    <t>595850 Erie Canal Museum</t>
  </si>
  <si>
    <t>595860 Internet and Networking Services</t>
  </si>
  <si>
    <t>595905 Arts Acquisition Conservation Fund</t>
  </si>
  <si>
    <t>595910 University Neighborhood Grants</t>
  </si>
  <si>
    <t>595911 Downtown District Matching</t>
  </si>
  <si>
    <t>595912 Crouse Marshall Matching</t>
  </si>
  <si>
    <t>595940 Leadership Syracuse</t>
  </si>
  <si>
    <t>593001 Summer Youth Employment Program</t>
  </si>
  <si>
    <t>593002 Community Ambassador Program</t>
  </si>
  <si>
    <t>593003 Financial Empowerment Center</t>
  </si>
  <si>
    <t>593005 CNY Works</t>
  </si>
  <si>
    <t>593007 Housing Trust</t>
  </si>
  <si>
    <t>593009 Union Apprentice Program</t>
  </si>
  <si>
    <t>593010 Landbank Seizures</t>
  </si>
  <si>
    <t>595942 Literacy Coalition</t>
  </si>
  <si>
    <t>595946 Home HeadQuarters</t>
  </si>
  <si>
    <t>595950 Mandated Drug Testing</t>
  </si>
  <si>
    <t>599930 Veteran's Post Rents</t>
  </si>
  <si>
    <t>593000 One Time Expenditures</t>
  </si>
  <si>
    <t>590810 Operating Leases</t>
  </si>
  <si>
    <t>540553 Traffic Camera Fees</t>
  </si>
  <si>
    <t>590050 Allowance_for_Negotiations</t>
  </si>
  <si>
    <t>590100 Employee Retirement System</t>
  </si>
  <si>
    <t>590300 Social_Security</t>
  </si>
  <si>
    <t>590400 Workers_Compensation</t>
  </si>
  <si>
    <t>590150 Police &amp; Fire Retirement System</t>
  </si>
  <si>
    <t>590410 Personal_ Injury_ Protection</t>
  </si>
  <si>
    <t>590500 Unemployment_Insurance</t>
  </si>
  <si>
    <t>590600 Medical_Insurance</t>
  </si>
  <si>
    <t>590858 Supplemental_Benefits</t>
  </si>
  <si>
    <t>599300 Judgement_&amp;_Claims</t>
  </si>
  <si>
    <t>597707 RAN_Interest</t>
  </si>
  <si>
    <t>590701 Employee_Assistance_Program</t>
  </si>
  <si>
    <t>590420 Police_207C_Expenses</t>
  </si>
  <si>
    <t>590421 Police_207C_Expenses</t>
  </si>
  <si>
    <t>590430 Fire_207A_Expenses</t>
  </si>
  <si>
    <t>590431 Fire_207A_Expenses</t>
  </si>
  <si>
    <t>599020 Transfer - City School District</t>
  </si>
  <si>
    <t>Capital Appropriations &amp; Debt Service</t>
  </si>
  <si>
    <t>Transfer to Capital Projects Fund</t>
  </si>
  <si>
    <t>Cash Capital Appropriations</t>
  </si>
  <si>
    <t>BAN Interest</t>
  </si>
  <si>
    <t>Transfer to Debt Service Fund</t>
  </si>
  <si>
    <t>Serial Bond Principal &amp; Interest</t>
  </si>
  <si>
    <t>One Percent (1%) Added Pursuant to Law</t>
  </si>
  <si>
    <t>421400 Sale of Water</t>
  </si>
  <si>
    <t>421420 Water Frontage Tax</t>
  </si>
  <si>
    <t>421440 Fire Service Installation</t>
  </si>
  <si>
    <t>421450 Lead Pipe Removal</t>
  </si>
  <si>
    <t>421460 Water Turn-on/Turn-off</t>
  </si>
  <si>
    <t>421480 Interest and Penalties</t>
  </si>
  <si>
    <t>421490 Pending Penalties</t>
  </si>
  <si>
    <t>421500 Meter Repairs</t>
  </si>
  <si>
    <t>421510 Infrastructure Improvement Fee</t>
  </si>
  <si>
    <t>424010 Interest on Deposits</t>
  </si>
  <si>
    <t>425600 Fees/Paving Cuts</t>
  </si>
  <si>
    <t>425900 Water Meter Installation</t>
  </si>
  <si>
    <t>425950 Serivce Kill Fees</t>
  </si>
  <si>
    <t>426000 Fire Service Maintenance Fee</t>
  </si>
  <si>
    <t>426500 Sale of Scrap Equiment</t>
  </si>
  <si>
    <t>427100 Premium on Bonds/RANs</t>
  </si>
  <si>
    <t>Departmental Operating Expenses</t>
  </si>
  <si>
    <t>Bad Debt Expense</t>
  </si>
  <si>
    <t>599850 Onon Cty Water District</t>
  </si>
  <si>
    <t>Transfer - General Fund</t>
  </si>
  <si>
    <t>Cash Capital Appropriations &amp; Debt Service</t>
  </si>
  <si>
    <t>Transfer - Cash Capital</t>
  </si>
  <si>
    <t>2020-2021
FY21 Actual*</t>
  </si>
  <si>
    <t>2021-2022
FY22 Actual*</t>
  </si>
  <si>
    <t>450310 Transfer from - General Fund</t>
  </si>
  <si>
    <t>499012 Municipal Sidewalk Fee</t>
  </si>
  <si>
    <t>*The Municipal Sidewalk Fund was not created yet.</t>
  </si>
  <si>
    <t>421200 Sewer Rents</t>
  </si>
  <si>
    <t>2024-2025
FY25 Actual</t>
  </si>
  <si>
    <t>City Tax Levy</t>
  </si>
  <si>
    <t>City Tax Rate (per $1,000 assessed value)</t>
  </si>
  <si>
    <r>
      <t xml:space="preserve">Oiling (per feet of frontage) </t>
    </r>
    <r>
      <rPr>
        <b/>
        <sz val="10"/>
        <color theme="1"/>
        <rFont val="Arial"/>
        <family val="2"/>
      </rPr>
      <t>*</t>
    </r>
  </si>
  <si>
    <r>
      <t xml:space="preserve">Sweeping (per feet of frontage) </t>
    </r>
    <r>
      <rPr>
        <b/>
        <sz val="10"/>
        <color theme="1"/>
        <rFont val="Arial"/>
        <family val="2"/>
      </rPr>
      <t>^</t>
    </r>
  </si>
  <si>
    <r>
      <t xml:space="preserve">Water </t>
    </r>
    <r>
      <rPr>
        <b/>
        <sz val="10"/>
        <color theme="1"/>
        <rFont val="Arial"/>
        <family val="2"/>
      </rPr>
      <t>**</t>
    </r>
  </si>
  <si>
    <t>Infrastructure Improvement Fee</t>
  </si>
  <si>
    <t>N/A</t>
  </si>
  <si>
    <r>
      <t xml:space="preserve">Sewer (per 100 cubic feet of consumption) </t>
    </r>
    <r>
      <rPr>
        <b/>
        <sz val="10"/>
        <color theme="1"/>
        <rFont val="Arial"/>
        <family val="2"/>
      </rPr>
      <t>^^</t>
    </r>
  </si>
  <si>
    <t>Sidewalk - Residential Property</t>
  </si>
  <si>
    <t>Sidewalk - Commercial Property</t>
  </si>
  <si>
    <r>
      <rPr>
        <b/>
        <sz val="10"/>
        <color theme="1"/>
        <rFont val="Arial"/>
        <family val="2"/>
      </rPr>
      <t xml:space="preserve">* </t>
    </r>
    <r>
      <rPr>
        <sz val="10"/>
        <color theme="1"/>
        <rFont val="Arial"/>
        <family val="2"/>
      </rPr>
      <t>Oiling refer to the City's "Slurry Seal" program.
Only unimproved roads (streets without curbing) receive this treatment and pay this charge.
Property owners on these roads are charged every four years.
Corner properties on which one street is improved and one is unimproved pay both charges.</t>
    </r>
  </si>
  <si>
    <r>
      <rPr>
        <b/>
        <sz val="10"/>
        <color theme="1"/>
        <rFont val="Arial"/>
        <family val="2"/>
      </rPr>
      <t xml:space="preserve">^ </t>
    </r>
    <r>
      <rPr>
        <sz val="10"/>
        <color theme="1"/>
        <rFont val="Arial"/>
        <family val="2"/>
      </rPr>
      <t>Sweeping refers to the City's "Sweeping and Flushing" program.
Only improved roads (streets with curbing) receive this treatment and pay this charge.
Property owners on these roads are charged annually.
Corner properties on which one street is improved and one is unimproved pay both charges.</t>
    </r>
  </si>
  <si>
    <r>
      <rPr>
        <b/>
        <sz val="10"/>
        <color theme="1"/>
        <rFont val="Arial"/>
        <family val="2"/>
      </rPr>
      <t>**</t>
    </r>
    <r>
      <rPr>
        <sz val="10"/>
        <color theme="1"/>
        <rFont val="Arial"/>
        <family val="2"/>
      </rPr>
      <t xml:space="preserve"> These rates reflect the charge for up to 1,300 cubic feet of water to City residents. 
Most residential consumers pay this rate. 
Larger institutions and high-water use customers use a different rate schedule.
The City also sells water to various municipalities; rates vary by municipality</t>
    </r>
  </si>
  <si>
    <t>https://www.syr.gov/Departments/Budget/City-Budget</t>
  </si>
  <si>
    <t>This document is created by the Office of the City Auditor
as a resource for the public and policy makers.</t>
  </si>
  <si>
    <t>Any errors, omissions, and corrections
should be directed to the Office of the City Auditor</t>
  </si>
  <si>
    <t>Please contact us by:
Phone at: (315) 448-8477, or
Email at: audit@syr.gov</t>
  </si>
  <si>
    <t>As updates are made, our office will release new versions of this document.</t>
  </si>
  <si>
    <t>Some figures may appear inconsistent with numbers provided in the budget book
due to rounding and other mathmatical errors.</t>
  </si>
  <si>
    <t>590300 Social Security</t>
  </si>
  <si>
    <t>590400 Workers Compensation</t>
  </si>
  <si>
    <t>590600 Medical Insurance</t>
  </si>
  <si>
    <t>599300 Judgement &amp; Claims</t>
  </si>
  <si>
    <r>
      <rPr>
        <b/>
        <sz val="10"/>
        <color theme="1"/>
        <rFont val="Arial"/>
        <family val="2"/>
      </rPr>
      <t>^^</t>
    </r>
    <r>
      <rPr>
        <sz val="10"/>
        <color theme="1"/>
        <rFont val="Arial"/>
        <family val="2"/>
      </rPr>
      <t xml:space="preserve"> These rates reflect the charge for most City residents. 
Larger institutions and high-water use customers use a different rate schedule.</t>
    </r>
  </si>
  <si>
    <t>13.6976</t>
  </si>
  <si>
    <t>The information in this document is derived from past City budget documents, available at:</t>
  </si>
  <si>
    <t>511400 Military Pay</t>
  </si>
  <si>
    <t>Common Council -10100</t>
  </si>
  <si>
    <t>Citizen Review Board - 10500</t>
  </si>
  <si>
    <t>Office of the Mayor -12100</t>
  </si>
  <si>
    <t>Office of Administration - 12110</t>
  </si>
  <si>
    <t>Office of Gun Violence Prevention - 12150</t>
  </si>
  <si>
    <t>Office of Management &amp; Budget -13400</t>
  </si>
  <si>
    <t>Division of Purchase - 13450</t>
  </si>
  <si>
    <t>Division of Equity Compliance &amp; Social Impact -64500</t>
  </si>
  <si>
    <t>Office of Personnel &amp; Labor Relations - 14300</t>
  </si>
  <si>
    <t>Bureau of Research -14800</t>
  </si>
  <si>
    <t>Syracuse Opportunity Works -14810</t>
  </si>
  <si>
    <t>Bureau of Information Technology -16800</t>
  </si>
  <si>
    <t>Bureau of City Payment Center - 13100</t>
  </si>
  <si>
    <t>Bureau of Accounts - 13110</t>
  </si>
  <si>
    <t>Parking Violations Bureau - 13120</t>
  </si>
  <si>
    <t>Bureau of Financial Operations - 13120</t>
  </si>
  <si>
    <t>Department of Audit - 13200</t>
  </si>
  <si>
    <t>Office of the City Clerk -14100</t>
  </si>
  <si>
    <t>Department of Assessment -13550</t>
  </si>
  <si>
    <t xml:space="preserve">Department of Assessment </t>
  </si>
  <si>
    <t>Board of Assessment Review -13560</t>
  </si>
  <si>
    <t>Board of Zoning Appeals -80100</t>
  </si>
  <si>
    <t>Law Department -14200</t>
  </si>
  <si>
    <t>Bureau of Administrative Adjudication - 13320</t>
  </si>
  <si>
    <t>Neighborhood &amp; Business Development - 64200</t>
  </si>
  <si>
    <t>Division of Code Enforcement - 36210</t>
  </si>
  <si>
    <t>Division of Planning &amp; Sustainability - 64210</t>
  </si>
  <si>
    <t>Department of Engineering - 80400</t>
  </si>
  <si>
    <t>DPW Main Office - 14900</t>
  </si>
  <si>
    <t>DPW Environmental Services - 14910</t>
  </si>
  <si>
    <t>DPW Building Services - 16210</t>
  </si>
  <si>
    <t>DPW Street Repair - 51200</t>
  </si>
  <si>
    <t>DPW Motor Equipment Maintenance - 51320</t>
  </si>
  <si>
    <t>DPW Snow &amp; Ice Control - 51420</t>
  </si>
  <si>
    <t>DPW Waste Collection, Recycling &amp; Disposal - 81600</t>
  </si>
  <si>
    <t>DPW Street Cleaning - 81700</t>
  </si>
  <si>
    <t>DPW Transportation - 81800</t>
  </si>
  <si>
    <t>Department of Police - 31230</t>
  </si>
  <si>
    <t>520600 Operating Equipment (20/30)</t>
  </si>
  <si>
    <t>540100 Motor Equipment Operating Supplies (10,20,30)</t>
  </si>
  <si>
    <t>540200 Motor Equipment Repair Supplies &amp; Services (10/20)</t>
  </si>
  <si>
    <t>540300 Office Supplies(10/20)</t>
  </si>
  <si>
    <t>540500 Operating Supplies &amp; Expenses (20/30)</t>
  </si>
  <si>
    <t>540700 Equipment Repair, Supplies &amp; Services (10/20/30)</t>
  </si>
  <si>
    <t>540800 Uniforms (30/40)</t>
  </si>
  <si>
    <t>541600 Travel, Training &amp; Development (10/20/30)</t>
  </si>
  <si>
    <t>Police Field Services - Civilian -31231</t>
  </si>
  <si>
    <t>540500 Operating Supplies &amp; Expenses (30)</t>
  </si>
  <si>
    <t>540800 Uniforms (30)</t>
  </si>
  <si>
    <t>Fire Main - Sworn  - 34100</t>
  </si>
  <si>
    <t>520200 Office Equipment &amp; Furnishings (10/20)</t>
  </si>
  <si>
    <t>520600 Operating Equipment (10/20)</t>
  </si>
  <si>
    <t>540100 Motor Equipment Operating Supplies (10/20)</t>
  </si>
  <si>
    <t>540300 Office Supplies (10/20)</t>
  </si>
  <si>
    <t>540700 Equipment Repair, Supplies &amp; Services (10/20)</t>
  </si>
  <si>
    <t>540800 Uniforms (20/30)</t>
  </si>
  <si>
    <t>Fire Main - Civilian 34101</t>
  </si>
  <si>
    <t>Parks Administration - 70200</t>
  </si>
  <si>
    <t>Parks Grounds Maintenance -71100</t>
  </si>
  <si>
    <t>Parks Recreation - 71400</t>
  </si>
  <si>
    <t>Dog Control Division - 31500</t>
  </si>
  <si>
    <t>Water Finance - 83100</t>
  </si>
  <si>
    <t>520200 Office Equipment &amp; Furnishings (10)</t>
  </si>
  <si>
    <t>Water Engineering - 83110</t>
  </si>
  <si>
    <t>Water Quality Management - 83300</t>
  </si>
  <si>
    <t>520200 Office Equipment &amp; Furnishings (20)</t>
  </si>
  <si>
    <t>540500 Operating Supplies &amp; Expenses (41,43,52)</t>
  </si>
  <si>
    <t>541100 Utilities (10/22)</t>
  </si>
  <si>
    <t>Skaneateles Watershed Program - 83350</t>
  </si>
  <si>
    <t>541600 Travel, Training &amp; Development (20)</t>
  </si>
  <si>
    <t>Water Plant - 83400</t>
  </si>
  <si>
    <t>540100 Motor Equipment Operating Supplies (10)</t>
  </si>
  <si>
    <t>540500 Operating Supplies &amp; Expenses (20/30/41/43/51/52)</t>
  </si>
  <si>
    <t>540800 Uniforms (50)</t>
  </si>
  <si>
    <t>541600 Travel, Training &amp; Development (10/20)</t>
  </si>
  <si>
    <t>Departmental Operating Expenses - 81200</t>
  </si>
  <si>
    <t>MUNICIPAL SIDEWALK FUND (12)</t>
  </si>
  <si>
    <t>WATER FUND (05)</t>
  </si>
  <si>
    <t>SEWER FUND (06)</t>
  </si>
  <si>
    <t>Departmental Operating Expenses - 81100</t>
  </si>
  <si>
    <t>540500 Operating Supplies &amp; Expenses (10)</t>
  </si>
  <si>
    <t>519900 Less: Special Grants from Other Funds</t>
  </si>
  <si>
    <t>City Rates</t>
  </si>
  <si>
    <t>CROUSE MARSHALL
SPECIAL ASSESSMENT DISTRICT</t>
  </si>
  <si>
    <t>2024-2025
FY25 Budget</t>
  </si>
  <si>
    <t>Interest</t>
  </si>
  <si>
    <t>Draw Down from Reserves</t>
  </si>
  <si>
    <t>Donated Services</t>
  </si>
  <si>
    <t>Miscellaneous</t>
  </si>
  <si>
    <t>Advertising Revenue</t>
  </si>
  <si>
    <t>City Reimbursement (50/50)</t>
  </si>
  <si>
    <t>Administration</t>
  </si>
  <si>
    <t>Administration Personnel</t>
  </si>
  <si>
    <t>Audit</t>
  </si>
  <si>
    <t>Office Expense</t>
  </si>
  <si>
    <t>Other Expenses</t>
  </si>
  <si>
    <t>Insurance</t>
  </si>
  <si>
    <t>Economic Development</t>
  </si>
  <si>
    <t>Marketing</t>
  </si>
  <si>
    <t>Environmental Maintenance</t>
  </si>
  <si>
    <t>Depreciation -Tractor &amp; Sweeper</t>
  </si>
  <si>
    <t>Horticulture</t>
  </si>
  <si>
    <t>Operations &amp; Maintenance</t>
  </si>
  <si>
    <t>Special Projects</t>
  </si>
  <si>
    <t>Trash Dumpster (Donated)</t>
  </si>
  <si>
    <t>Personnel</t>
  </si>
  <si>
    <t>FT Maintenance</t>
  </si>
  <si>
    <t>PT Maintenance</t>
  </si>
  <si>
    <t>Benefits</t>
  </si>
  <si>
    <t>Security</t>
  </si>
  <si>
    <t>Security Personnel</t>
  </si>
  <si>
    <t>Security Benefits</t>
  </si>
  <si>
    <t>Security Insurance</t>
  </si>
  <si>
    <t>Security Operations</t>
  </si>
  <si>
    <t>Special Assessment Levy</t>
  </si>
  <si>
    <t>Special Assessment</t>
  </si>
  <si>
    <t>DOWNTOWN
SPECIAL ASSESSMENT FUND</t>
  </si>
  <si>
    <t>Farmers Market</t>
  </si>
  <si>
    <t>Arts &amp; Crafts</t>
  </si>
  <si>
    <t>Transportation</t>
  </si>
  <si>
    <t>Various Grants</t>
  </si>
  <si>
    <t>Salaries and Fringe</t>
  </si>
  <si>
    <t>Operations and Administration</t>
  </si>
  <si>
    <t>Office Supplies</t>
  </si>
  <si>
    <t>Transportation and Travel</t>
  </si>
  <si>
    <t>Office Rent</t>
  </si>
  <si>
    <t>Machine Contract</t>
  </si>
  <si>
    <t>Promotions</t>
  </si>
  <si>
    <t>Printing</t>
  </si>
  <si>
    <t>Advertising</t>
  </si>
  <si>
    <t>Program Operations</t>
  </si>
  <si>
    <t>Website</t>
  </si>
  <si>
    <t>Operations and Maintenance</t>
  </si>
  <si>
    <t>Program Delivery</t>
  </si>
  <si>
    <t>Depreciation</t>
  </si>
  <si>
    <t>Alarm</t>
  </si>
  <si>
    <t>Rent</t>
  </si>
  <si>
    <t>Sales Tax</t>
  </si>
  <si>
    <t>Operations</t>
  </si>
  <si>
    <t>Operations/Education</t>
  </si>
  <si>
    <t>Telephone</t>
  </si>
  <si>
    <t>`</t>
  </si>
  <si>
    <t>Arts and Crafts</t>
  </si>
  <si>
    <t>Reserve</t>
  </si>
  <si>
    <t>Fees &amp; Penalties</t>
  </si>
  <si>
    <t>Allowance for Uncollected Assessment</t>
  </si>
  <si>
    <t>DEBT SERVICE</t>
  </si>
  <si>
    <t>Debt Service Principal &amp; Interest Appropriations</t>
  </si>
  <si>
    <t>General Fund</t>
  </si>
  <si>
    <t>Municipal Sidewalk Fund</t>
  </si>
  <si>
    <t>Water Fund</t>
  </si>
  <si>
    <t>Sewer Fund</t>
  </si>
  <si>
    <t>DEBT SERVICE BY FUND</t>
  </si>
  <si>
    <t>Maturity Date</t>
  </si>
  <si>
    <t>Interest Rate</t>
  </si>
  <si>
    <t>Original
Balance</t>
  </si>
  <si>
    <t>All Municipal Bonding</t>
  </si>
  <si>
    <t>General Fund Bonding</t>
  </si>
  <si>
    <t>500 Public Improvement Bonds, 2014 B</t>
  </si>
  <si>
    <t>505 Public Improvement Refunding Bonds, 2015 A</t>
  </si>
  <si>
    <t>515 Public Improvement Bonds, 2015 A</t>
  </si>
  <si>
    <t>525 Public Improvement Bonds, 2016 A</t>
  </si>
  <si>
    <t>530 Public Improvement Bonds, 2017 A</t>
  </si>
  <si>
    <t>560 Public Improvement Bonds, 2018 A</t>
  </si>
  <si>
    <t>570 Public Improvement Bonds, 2019 A</t>
  </si>
  <si>
    <t>575 Public Improvement Bonds, 2020 A</t>
  </si>
  <si>
    <t>580 Public Improvement Bonds, 2020 B</t>
  </si>
  <si>
    <t>585 Public Improvement Bonds, 2021 A</t>
  </si>
  <si>
    <t>590 Public Improvement Bonds, 2021 B</t>
  </si>
  <si>
    <t>595 Public Improvement Bonds, 2022 A</t>
  </si>
  <si>
    <t>600 Public Improvement Bonds, 2023</t>
  </si>
  <si>
    <t>Municipal Sidewalk Fund Bonding</t>
  </si>
  <si>
    <t>Water Fund Bonding</t>
  </si>
  <si>
    <t>445 N.Y.S. E.F.C. Bonds, 2010 C</t>
  </si>
  <si>
    <t>525 Public Improvement Bonds. 2016 A</t>
  </si>
  <si>
    <t>570 Public Improvement Bonds. 2019 A</t>
  </si>
  <si>
    <t>575 Public Improvement Bonds. 2020 A</t>
  </si>
  <si>
    <t>580 Public Improvement Refunding Bonds. 2020 B</t>
  </si>
  <si>
    <t>585 Public Improvement Bonds. 2021 A</t>
  </si>
  <si>
    <t>590 Public Improvement Refunding Bonds. 2021 B</t>
  </si>
  <si>
    <t>595 Public Improvement Bonds. 2022 A</t>
  </si>
  <si>
    <t>600 Public Improvement Bonds. 2023</t>
  </si>
  <si>
    <t>Sewer Fund Bonding</t>
  </si>
  <si>
    <t>*We exclude the Aviation Fund which ended this year.</t>
  </si>
  <si>
    <t>2025-2026
FY26 Budget</t>
  </si>
  <si>
    <t>2026-2027
FY27 Proposed</t>
  </si>
  <si>
    <t>2025-2026
FY26 Estimate</t>
  </si>
  <si>
    <t>FY27
Prinicipal</t>
  </si>
  <si>
    <t>FY27
Interest</t>
  </si>
  <si>
    <t>FY27
Debt Service</t>
  </si>
  <si>
    <t>FY27 Year-End
Balance</t>
  </si>
  <si>
    <t>2025-2026
FY26 Actual</t>
  </si>
  <si>
    <t>Version 2
City of Syracuse Budget Workbook
FY 2021-2025 Actuals
FY 2026 Estimate
FY 2026-27 Proposed</t>
  </si>
  <si>
    <t>610 Public Improvement Bonds, 2025</t>
  </si>
  <si>
    <t>605 Public Improvement Bonds, 2024</t>
  </si>
  <si>
    <t>4,500,00</t>
  </si>
  <si>
    <t>*3rd Party Plan Review is budgeted at $500k and has corresponding increases in revenue from permitting and development.</t>
  </si>
  <si>
    <t>599898 Greater Syracuse Property Development Corp.</t>
  </si>
  <si>
    <t>Office of Constituent Assistance Resource Employees (Communications) - 12120</t>
  </si>
  <si>
    <t>Office of Analytics, Performance &amp; Innovation (API) - 12140</t>
  </si>
  <si>
    <t>*Includes one-time departure payouts from administration transition.</t>
  </si>
  <si>
    <t>*FY27 proposed total reflects the office's transition from grant funding to General Fund (GF) support.</t>
  </si>
  <si>
    <t>*Indicates increased software expenditures; FY26 reflects lower costs due to one-time co-terming efforts.</t>
  </si>
  <si>
    <t>*Partial year funding of Reevaluation. Total cost will be estimated at $2 million over multiple years.</t>
  </si>
  <si>
    <t>*Includes fully funded professional services for outside counsel, addressing historical underbudgeting and supporting reduction in judgments and claims.</t>
  </si>
  <si>
    <t>*Includes funding for legal support associated with the I-81 project, supporting the City's efforts to secure control of land beneath the viaduct.</t>
  </si>
  <si>
    <t>*Includes increased staffing to support operations at the new facility at 1153 West Fayette Street.</t>
  </si>
  <si>
    <t>*Noting increased utility costs.</t>
  </si>
  <si>
    <t>*Noting the decrease due to anticipated CHIPs reimbursements.</t>
  </si>
  <si>
    <t>*Reflects higher tipping fees compared to prior periods.</t>
  </si>
  <si>
    <t>*Reflects increased utility costs and street lighting maintenance as of April 6, 2026.</t>
  </si>
  <si>
    <t>GENERAL FUND</t>
  </si>
  <si>
    <t>595865 Community Broadband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</si>
</sst>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
    <numFmt numFmtId="165" formatCode="0.0%"/>
  </numFmts>
  <fonts count="22" x14ac:knownFonts="1">
    <font>
      <sz val="10"/>
      <color rgb="FF000000"/>
      <name val="Times New Roman"/>
      <family val="1"/>
    </font>
    <font>
      <sz val="11"/>
      <color theme="1"/>
      <name val="Century Gothic"/>
      <family val="2"/>
      <scheme val="minor"/>
    </font>
    <font>
      <sz val="11"/>
      <color theme="1"/>
      <name val="Century Gothic"/>
      <family val="2"/>
      <scheme val="minor"/>
    </font>
    <font>
      <sz val="11"/>
      <color theme="1"/>
      <name val="Century Gothic"/>
      <family val="2"/>
      <scheme val="minor"/>
    </font>
    <font>
      <sz val="9"/>
      <name val="Arial"/>
      <family val="2"/>
    </font>
    <font>
      <sz val="10"/>
      <color rgb="FF000000"/>
      <name val="Arial"/>
      <family val="2"/>
    </font>
    <font>
      <sz val="10"/>
      <name val="Arial"/>
      <family val="2"/>
    </font>
    <font>
      <b/>
      <sz val="9"/>
      <name val="Arial"/>
      <family val="2"/>
    </font>
    <font>
      <b/>
      <sz val="10"/>
      <name val="Arial"/>
      <family val="2"/>
    </font>
    <font>
      <b/>
      <sz val="10"/>
      <color rgb="FF000000"/>
      <name val="Arial"/>
      <family val="2"/>
    </font>
    <font>
      <b/>
      <i/>
      <sz val="10"/>
      <color rgb="FF000000"/>
      <name val="Arial"/>
      <family val="2"/>
    </font>
    <font>
      <b/>
      <i/>
      <sz val="10"/>
      <name val="Arial"/>
      <family val="2"/>
    </font>
    <font>
      <i/>
      <sz val="10"/>
      <color rgb="FF000000"/>
      <name val="Arial"/>
      <family val="2"/>
    </font>
    <font>
      <i/>
      <sz val="10"/>
      <name val="Arial"/>
      <family val="2"/>
    </font>
    <font>
      <sz val="10"/>
      <color rgb="FF000000"/>
      <name val="Times New Roman"/>
      <family val="1"/>
    </font>
    <font>
      <i/>
      <sz val="10"/>
      <color rgb="FFFF0000"/>
      <name val="Arial"/>
      <family val="2"/>
    </font>
    <font>
      <sz val="10"/>
      <color theme="1"/>
      <name val="Arial"/>
      <family val="2"/>
    </font>
    <font>
      <b/>
      <sz val="10"/>
      <color theme="1"/>
      <name val="Arial"/>
      <family val="2"/>
    </font>
    <font>
      <i/>
      <sz val="10"/>
      <color rgb="FF000000"/>
      <name val="Tenorite"/>
    </font>
    <font>
      <i/>
      <sz val="10"/>
      <name val="Tenorite"/>
    </font>
    <font>
      <sz val="10"/>
      <color rgb="FF000000"/>
      <name val="Tenorite"/>
    </font>
    <font>
      <b/>
      <u/>
      <sz val="10"/>
      <name val="Arial"/>
      <family val="2"/>
    </font>
  </fonts>
  <fills count="8">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8">
    <xf numFmtId="0" fontId="0" fillId="0" borderId="0"/>
    <xf numFmtId="44" fontId="14" fillId="0" borderId="0" applyFont="0" applyFill="0" applyBorder="0" applyAlignment="0" applyProtection="0"/>
    <xf numFmtId="0" fontId="14" fillId="0" borderId="0"/>
    <xf numFmtId="0" fontId="3" fillId="0" borderId="0"/>
    <xf numFmtId="44" fontId="3" fillId="0" borderId="0" applyFont="0" applyFill="0" applyBorder="0" applyAlignment="0" applyProtection="0"/>
    <xf numFmtId="0" fontId="2" fillId="0" borderId="0"/>
    <xf numFmtId="44" fontId="2" fillId="0" borderId="0" applyFont="0" applyFill="0" applyBorder="0" applyAlignment="0" applyProtection="0"/>
    <xf numFmtId="43" fontId="14" fillId="0" borderId="0" applyFont="0" applyFill="0" applyBorder="0" applyAlignment="0" applyProtection="0"/>
  </cellStyleXfs>
  <cellXfs count="332">
    <xf numFmtId="0" fontId="0" fillId="0" borderId="0" xfId="0"/>
    <xf numFmtId="0" fontId="0" fillId="0" borderId="0" xfId="0" applyAlignment="1">
      <alignment horizontal="left" vertical="top"/>
    </xf>
    <xf numFmtId="0" fontId="4" fillId="0" borderId="0" xfId="0" applyFont="1" applyAlignment="1">
      <alignment vertical="top" wrapText="1"/>
    </xf>
    <xf numFmtId="0" fontId="7" fillId="0" borderId="0" xfId="0" applyFont="1" applyAlignment="1">
      <alignment vertical="top" wrapText="1"/>
    </xf>
    <xf numFmtId="0" fontId="7" fillId="0" borderId="0" xfId="0" applyFont="1" applyAlignment="1">
      <alignment wrapText="1"/>
    </xf>
    <xf numFmtId="0" fontId="0" fillId="0" borderId="0" xfId="0" applyAlignment="1">
      <alignment horizontal="center" vertical="center"/>
    </xf>
    <xf numFmtId="0" fontId="5" fillId="0" borderId="0" xfId="0" applyFont="1" applyAlignment="1">
      <alignment horizontal="left" vertical="center"/>
    </xf>
    <xf numFmtId="38" fontId="8" fillId="2" borderId="2" xfId="0" applyNumberFormat="1" applyFont="1" applyFill="1" applyBorder="1" applyAlignment="1">
      <alignment horizontal="center" vertical="center" wrapText="1"/>
    </xf>
    <xf numFmtId="38" fontId="5" fillId="3" borderId="2" xfId="0" applyNumberFormat="1" applyFont="1" applyFill="1" applyBorder="1" applyAlignment="1">
      <alignment horizontal="center" vertical="center" wrapText="1"/>
    </xf>
    <xf numFmtId="38" fontId="6" fillId="3" borderId="2" xfId="0" applyNumberFormat="1" applyFont="1" applyFill="1" applyBorder="1" applyAlignment="1">
      <alignment horizontal="center" vertical="center" wrapText="1"/>
    </xf>
    <xf numFmtId="38" fontId="8" fillId="4" borderId="2" xfId="0" applyNumberFormat="1" applyFont="1" applyFill="1" applyBorder="1" applyAlignment="1">
      <alignment horizontal="center" vertical="center" wrapText="1"/>
    </xf>
    <xf numFmtId="38" fontId="8" fillId="5" borderId="2" xfId="0" applyNumberFormat="1" applyFont="1" applyFill="1" applyBorder="1" applyAlignment="1">
      <alignment horizontal="center" vertical="center" wrapText="1"/>
    </xf>
    <xf numFmtId="0" fontId="5" fillId="0" borderId="0" xfId="0" applyFont="1" applyAlignment="1">
      <alignment horizontal="left" vertical="top"/>
    </xf>
    <xf numFmtId="0" fontId="5" fillId="0" borderId="0" xfId="0" applyFont="1" applyAlignment="1">
      <alignment wrapText="1"/>
    </xf>
    <xf numFmtId="0" fontId="6" fillId="0" borderId="0" xfId="0" applyFont="1" applyAlignment="1">
      <alignment vertical="top" wrapText="1"/>
    </xf>
    <xf numFmtId="38" fontId="12" fillId="5" borderId="2" xfId="0" applyNumberFormat="1" applyFont="1" applyFill="1" applyBorder="1" applyAlignment="1">
      <alignment horizontal="center" shrinkToFit="1"/>
    </xf>
    <xf numFmtId="38" fontId="13" fillId="5" borderId="2" xfId="0" applyNumberFormat="1" applyFont="1" applyFill="1" applyBorder="1" applyAlignment="1">
      <alignment horizontal="center" wrapText="1"/>
    </xf>
    <xf numFmtId="0" fontId="13" fillId="5" borderId="2" xfId="0" applyFont="1" applyFill="1" applyBorder="1" applyAlignment="1">
      <alignment horizontal="left" vertical="top" wrapText="1"/>
    </xf>
    <xf numFmtId="0" fontId="12" fillId="5" borderId="2" xfId="0" applyFont="1" applyFill="1" applyBorder="1" applyAlignment="1">
      <alignment horizontal="left" vertical="top"/>
    </xf>
    <xf numFmtId="0" fontId="8" fillId="0" borderId="0" xfId="0" applyFont="1" applyAlignment="1">
      <alignment vertical="top" wrapText="1"/>
    </xf>
    <xf numFmtId="0" fontId="5" fillId="0" borderId="0" xfId="0" applyFont="1" applyAlignment="1">
      <alignment vertical="center" wrapText="1"/>
    </xf>
    <xf numFmtId="0" fontId="8" fillId="0" borderId="0" xfId="0" applyFont="1" applyAlignment="1">
      <alignment vertical="center" wrapText="1"/>
    </xf>
    <xf numFmtId="38" fontId="8" fillId="4" borderId="2" xfId="0" applyNumberFormat="1" applyFont="1" applyFill="1" applyBorder="1" applyAlignment="1">
      <alignment horizontal="center" wrapText="1"/>
    </xf>
    <xf numFmtId="0" fontId="5" fillId="0" borderId="0" xfId="0" applyFont="1" applyAlignment="1">
      <alignment vertical="top" wrapText="1"/>
    </xf>
    <xf numFmtId="1" fontId="5" fillId="0" borderId="0" xfId="0" applyNumberFormat="1" applyFont="1" applyAlignment="1">
      <alignment shrinkToFit="1"/>
    </xf>
    <xf numFmtId="0" fontId="5" fillId="0" borderId="0" xfId="0" applyFont="1" applyAlignment="1">
      <alignment horizontal="left" vertical="top" wrapText="1"/>
    </xf>
    <xf numFmtId="38" fontId="8" fillId="2" borderId="2" xfId="0" applyNumberFormat="1" applyFont="1" applyFill="1" applyBorder="1" applyAlignment="1">
      <alignment horizontal="center" wrapText="1"/>
    </xf>
    <xf numFmtId="0" fontId="8" fillId="0" borderId="2" xfId="0" applyFont="1" applyBorder="1" applyAlignment="1">
      <alignment horizontal="center" wrapText="1"/>
    </xf>
    <xf numFmtId="0" fontId="12" fillId="0" borderId="0" xfId="0" applyFont="1" applyAlignment="1">
      <alignment horizontal="left" vertical="top"/>
    </xf>
    <xf numFmtId="38" fontId="8" fillId="5" borderId="2" xfId="0" applyNumberFormat="1" applyFont="1" applyFill="1" applyBorder="1" applyAlignment="1">
      <alignment horizontal="center" wrapText="1"/>
    </xf>
    <xf numFmtId="0" fontId="5"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center"/>
    </xf>
    <xf numFmtId="0" fontId="12" fillId="5" borderId="2" xfId="0" applyFont="1" applyFill="1" applyBorder="1" applyAlignment="1">
      <alignment vertical="center"/>
    </xf>
    <xf numFmtId="0" fontId="13" fillId="5" borderId="2" xfId="0" applyFont="1" applyFill="1" applyBorder="1" applyAlignment="1">
      <alignment vertical="center" wrapText="1"/>
    </xf>
    <xf numFmtId="0" fontId="12" fillId="5" borderId="2" xfId="0" applyFont="1" applyFill="1" applyBorder="1" applyAlignment="1">
      <alignment vertical="center" wrapText="1"/>
    </xf>
    <xf numFmtId="0" fontId="10" fillId="5" borderId="2" xfId="0" applyFont="1" applyFill="1" applyBorder="1" applyAlignment="1">
      <alignment vertical="center"/>
    </xf>
    <xf numFmtId="38" fontId="9" fillId="5" borderId="2" xfId="0" applyNumberFormat="1" applyFont="1" applyFill="1" applyBorder="1" applyAlignment="1">
      <alignment horizontal="center" vertical="center" wrapText="1"/>
    </xf>
    <xf numFmtId="38" fontId="11" fillId="5" borderId="2" xfId="0" applyNumberFormat="1" applyFont="1" applyFill="1" applyBorder="1" applyAlignment="1">
      <alignment horizontal="center" vertical="center" wrapText="1"/>
    </xf>
    <xf numFmtId="38" fontId="12" fillId="5" borderId="2" xfId="0" applyNumberFormat="1" applyFont="1" applyFill="1" applyBorder="1" applyAlignment="1">
      <alignment horizontal="center" vertical="center" shrinkToFit="1"/>
    </xf>
    <xf numFmtId="38" fontId="10" fillId="5" borderId="2" xfId="0" applyNumberFormat="1" applyFont="1" applyFill="1" applyBorder="1" applyAlignment="1">
      <alignment horizontal="center" vertical="center"/>
    </xf>
    <xf numFmtId="38" fontId="9" fillId="5" borderId="2" xfId="0" applyNumberFormat="1" applyFont="1" applyFill="1" applyBorder="1" applyAlignment="1">
      <alignment horizontal="center" vertical="center" shrinkToFit="1"/>
    </xf>
    <xf numFmtId="38" fontId="10" fillId="5" borderId="2" xfId="0" applyNumberFormat="1" applyFont="1" applyFill="1" applyBorder="1" applyAlignment="1">
      <alignment horizontal="center" vertical="center" wrapText="1"/>
    </xf>
    <xf numFmtId="0" fontId="8" fillId="0" borderId="0" xfId="0" applyFont="1" applyAlignment="1">
      <alignment horizontal="left" vertical="center" wrapText="1"/>
    </xf>
    <xf numFmtId="0" fontId="12" fillId="5" borderId="2" xfId="0" applyFont="1" applyFill="1" applyBorder="1" applyAlignment="1">
      <alignment horizontal="left" vertical="center"/>
    </xf>
    <xf numFmtId="0" fontId="13" fillId="5" borderId="2" xfId="0" applyFont="1" applyFill="1" applyBorder="1" applyAlignment="1">
      <alignment horizontal="left" vertical="center" wrapText="1"/>
    </xf>
    <xf numFmtId="0" fontId="13" fillId="5" borderId="2" xfId="0" applyFont="1" applyFill="1" applyBorder="1" applyAlignment="1">
      <alignment horizontal="center" vertical="center" wrapText="1"/>
    </xf>
    <xf numFmtId="38" fontId="13" fillId="5"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38" fontId="6" fillId="3" borderId="2" xfId="0" applyNumberFormat="1" applyFont="1" applyFill="1" applyBorder="1" applyAlignment="1">
      <alignment horizontal="center" wrapText="1"/>
    </xf>
    <xf numFmtId="38" fontId="5" fillId="3" borderId="2" xfId="0" applyNumberFormat="1" applyFont="1" applyFill="1" applyBorder="1" applyAlignment="1">
      <alignment horizontal="center" shrinkToFit="1"/>
    </xf>
    <xf numFmtId="38" fontId="5" fillId="3" borderId="2" xfId="0" applyNumberFormat="1" applyFont="1" applyFill="1" applyBorder="1" applyAlignment="1">
      <alignment horizontal="center" wrapText="1"/>
    </xf>
    <xf numFmtId="38" fontId="5" fillId="3" borderId="2" xfId="0" applyNumberFormat="1" applyFont="1" applyFill="1" applyBorder="1" applyAlignment="1">
      <alignment horizontal="center"/>
    </xf>
    <xf numFmtId="3" fontId="12" fillId="0" borderId="0" xfId="0" applyNumberFormat="1" applyFont="1" applyAlignment="1">
      <alignment horizontal="center" vertical="top"/>
    </xf>
    <xf numFmtId="38" fontId="5" fillId="5" borderId="2" xfId="1" applyNumberFormat="1" applyFont="1" applyFill="1" applyBorder="1" applyAlignment="1">
      <alignment horizontal="center" vertical="top" shrinkToFit="1"/>
    </xf>
    <xf numFmtId="38" fontId="8" fillId="5" borderId="2" xfId="1" applyNumberFormat="1" applyFont="1" applyFill="1" applyBorder="1" applyAlignment="1">
      <alignment horizontal="center" vertical="center" wrapText="1"/>
    </xf>
    <xf numFmtId="38" fontId="12" fillId="5" borderId="2" xfId="1" applyNumberFormat="1" applyFont="1" applyFill="1" applyBorder="1" applyAlignment="1">
      <alignment horizontal="center" vertical="top" shrinkToFit="1"/>
    </xf>
    <xf numFmtId="38" fontId="10" fillId="5" borderId="2" xfId="1" applyNumberFormat="1" applyFont="1" applyFill="1" applyBorder="1" applyAlignment="1">
      <alignment horizontal="center" vertical="center" shrinkToFit="1"/>
    </xf>
    <xf numFmtId="0" fontId="12" fillId="5" borderId="2" xfId="2" applyFont="1" applyFill="1" applyBorder="1" applyAlignment="1">
      <alignment horizontal="left" vertical="top"/>
    </xf>
    <xf numFmtId="0" fontId="5" fillId="5" borderId="2" xfId="2" applyFont="1" applyFill="1" applyBorder="1" applyAlignment="1">
      <alignment horizontal="left" vertical="top"/>
    </xf>
    <xf numFmtId="38" fontId="11" fillId="5" borderId="2" xfId="1" applyNumberFormat="1" applyFont="1" applyFill="1" applyBorder="1" applyAlignment="1">
      <alignment horizontal="center" vertical="top" wrapText="1"/>
    </xf>
    <xf numFmtId="38" fontId="13" fillId="5" borderId="2" xfId="1" applyNumberFormat="1" applyFont="1" applyFill="1" applyBorder="1" applyAlignment="1">
      <alignment horizontal="center" vertical="top" wrapText="1"/>
    </xf>
    <xf numFmtId="38" fontId="12" fillId="5" borderId="2" xfId="1" applyNumberFormat="1" applyFont="1" applyFill="1" applyBorder="1" applyAlignment="1">
      <alignment horizontal="center" vertical="center" shrinkToFit="1"/>
    </xf>
    <xf numFmtId="38" fontId="10" fillId="5" borderId="2" xfId="1" applyNumberFormat="1" applyFont="1" applyFill="1" applyBorder="1" applyAlignment="1">
      <alignment horizontal="center" vertical="top" shrinkToFit="1"/>
    </xf>
    <xf numFmtId="1" fontId="12" fillId="5" borderId="2" xfId="2" applyNumberFormat="1" applyFont="1" applyFill="1" applyBorder="1" applyAlignment="1">
      <alignment horizontal="left" vertical="center" shrinkToFit="1"/>
    </xf>
    <xf numFmtId="38" fontId="11" fillId="5" borderId="2" xfId="1" applyNumberFormat="1" applyFont="1" applyFill="1" applyBorder="1" applyAlignment="1">
      <alignment horizontal="center" wrapText="1"/>
    </xf>
    <xf numFmtId="38" fontId="10" fillId="5" borderId="2" xfId="1" applyNumberFormat="1" applyFont="1" applyFill="1" applyBorder="1" applyAlignment="1">
      <alignment horizontal="center" wrapText="1"/>
    </xf>
    <xf numFmtId="38" fontId="11" fillId="5" borderId="2" xfId="1" applyNumberFormat="1" applyFont="1" applyFill="1" applyBorder="1" applyAlignment="1">
      <alignment horizontal="center" vertical="center" wrapText="1"/>
    </xf>
    <xf numFmtId="38" fontId="12" fillId="5" borderId="2" xfId="1" applyNumberFormat="1" applyFont="1" applyFill="1" applyBorder="1" applyAlignment="1">
      <alignment horizontal="center" shrinkToFit="1"/>
    </xf>
    <xf numFmtId="38" fontId="10" fillId="5" borderId="2" xfId="1" applyNumberFormat="1" applyFont="1" applyFill="1" applyBorder="1" applyAlignment="1">
      <alignment horizontal="center" vertical="top"/>
    </xf>
    <xf numFmtId="38" fontId="10" fillId="5" borderId="2" xfId="1" applyNumberFormat="1" applyFont="1" applyFill="1" applyBorder="1" applyAlignment="1">
      <alignment horizontal="center" shrinkToFit="1"/>
    </xf>
    <xf numFmtId="38" fontId="10" fillId="5" borderId="2" xfId="1" applyNumberFormat="1" applyFont="1" applyFill="1" applyBorder="1" applyAlignment="1">
      <alignment horizontal="center" vertical="center" wrapText="1"/>
    </xf>
    <xf numFmtId="38" fontId="10" fillId="5" borderId="2" xfId="1" applyNumberFormat="1" applyFont="1" applyFill="1" applyBorder="1" applyAlignment="1">
      <alignment horizontal="center" vertical="top" wrapText="1"/>
    </xf>
    <xf numFmtId="38" fontId="12" fillId="5" borderId="2" xfId="1" applyNumberFormat="1" applyFont="1" applyFill="1" applyBorder="1" applyAlignment="1">
      <alignment horizontal="center" wrapText="1"/>
    </xf>
    <xf numFmtId="0" fontId="12" fillId="5" borderId="2" xfId="2" applyFont="1" applyFill="1" applyBorder="1" applyAlignment="1">
      <alignment horizontal="left" vertical="center" wrapText="1"/>
    </xf>
    <xf numFmtId="38" fontId="11" fillId="5" borderId="2" xfId="2" applyNumberFormat="1" applyFont="1" applyFill="1" applyBorder="1" applyAlignment="1">
      <alignment horizontal="center" wrapText="1"/>
    </xf>
    <xf numFmtId="0" fontId="8" fillId="5" borderId="2" xfId="2" applyFont="1" applyFill="1" applyBorder="1" applyAlignment="1">
      <alignment horizontal="left" wrapText="1"/>
    </xf>
    <xf numFmtId="38" fontId="12" fillId="3" borderId="2" xfId="0" applyNumberFormat="1" applyFont="1" applyFill="1" applyBorder="1" applyAlignment="1">
      <alignment horizontal="center" vertical="top" shrinkToFit="1"/>
    </xf>
    <xf numFmtId="38" fontId="13" fillId="3" borderId="2" xfId="0" applyNumberFormat="1" applyFont="1" applyFill="1" applyBorder="1" applyAlignment="1">
      <alignment horizontal="center" vertical="top" wrapText="1"/>
    </xf>
    <xf numFmtId="0" fontId="5" fillId="3" borderId="2" xfId="0" applyFont="1" applyFill="1" applyBorder="1" applyAlignment="1">
      <alignment horizontal="left" vertical="top"/>
    </xf>
    <xf numFmtId="38" fontId="12" fillId="3" borderId="2" xfId="0" applyNumberFormat="1" applyFont="1" applyFill="1" applyBorder="1" applyAlignment="1">
      <alignment horizontal="center" shrinkToFit="1"/>
    </xf>
    <xf numFmtId="38" fontId="10" fillId="3" borderId="2" xfId="0" applyNumberFormat="1" applyFont="1" applyFill="1" applyBorder="1" applyAlignment="1">
      <alignment horizontal="center" vertical="center" shrinkToFit="1"/>
    </xf>
    <xf numFmtId="0" fontId="6" fillId="0" borderId="0" xfId="0" applyFont="1" applyAlignment="1">
      <alignment vertical="center" wrapText="1"/>
    </xf>
    <xf numFmtId="38" fontId="10" fillId="3" borderId="2" xfId="0" applyNumberFormat="1" applyFont="1" applyFill="1" applyBorder="1" applyAlignment="1">
      <alignment horizontal="center" vertical="center" wrapText="1"/>
    </xf>
    <xf numFmtId="38" fontId="11" fillId="3" borderId="2" xfId="0" applyNumberFormat="1" applyFont="1" applyFill="1" applyBorder="1" applyAlignment="1">
      <alignment horizontal="center" vertical="top" wrapText="1"/>
    </xf>
    <xf numFmtId="38" fontId="13" fillId="3" borderId="2" xfId="0" applyNumberFormat="1" applyFont="1" applyFill="1" applyBorder="1" applyAlignment="1">
      <alignment horizontal="center" vertical="center" wrapText="1"/>
    </xf>
    <xf numFmtId="38" fontId="10" fillId="3" borderId="2" xfId="0" applyNumberFormat="1" applyFont="1" applyFill="1" applyBorder="1" applyAlignment="1">
      <alignment horizontal="center" vertical="top" shrinkToFit="1"/>
    </xf>
    <xf numFmtId="38" fontId="12" fillId="3" borderId="2" xfId="0" applyNumberFormat="1" applyFont="1" applyFill="1" applyBorder="1" applyAlignment="1">
      <alignment horizontal="center" vertical="center" shrinkToFit="1"/>
    </xf>
    <xf numFmtId="38" fontId="10" fillId="3" borderId="2" xfId="0" applyNumberFormat="1" applyFont="1" applyFill="1" applyBorder="1" applyAlignment="1">
      <alignment horizontal="center" vertical="top"/>
    </xf>
    <xf numFmtId="0" fontId="5" fillId="3" borderId="2" xfId="0" applyFont="1" applyFill="1" applyBorder="1" applyAlignment="1">
      <alignment vertical="top"/>
    </xf>
    <xf numFmtId="0" fontId="13" fillId="0" borderId="0" xfId="0" applyFont="1" applyAlignment="1">
      <alignment vertical="top" wrapText="1"/>
    </xf>
    <xf numFmtId="38" fontId="12" fillId="3" borderId="2" xfId="0" applyNumberFormat="1" applyFont="1" applyFill="1" applyBorder="1" applyAlignment="1">
      <alignment horizontal="center" vertical="top" wrapText="1"/>
    </xf>
    <xf numFmtId="38" fontId="10" fillId="3" borderId="2" xfId="0" applyNumberFormat="1" applyFont="1" applyFill="1" applyBorder="1" applyAlignment="1">
      <alignment horizontal="center" wrapText="1"/>
    </xf>
    <xf numFmtId="38" fontId="15" fillId="3" borderId="2" xfId="0" applyNumberFormat="1" applyFont="1" applyFill="1" applyBorder="1" applyAlignment="1">
      <alignment horizontal="center" vertical="top" wrapText="1"/>
    </xf>
    <xf numFmtId="0" fontId="8" fillId="0" borderId="0" xfId="0" applyFont="1" applyAlignment="1">
      <alignment wrapText="1"/>
    </xf>
    <xf numFmtId="38" fontId="12" fillId="5" borderId="2" xfId="0" applyNumberFormat="1" applyFont="1" applyFill="1" applyBorder="1" applyAlignment="1">
      <alignment horizontal="center" vertical="center" wrapText="1"/>
    </xf>
    <xf numFmtId="38" fontId="9" fillId="3" borderId="2" xfId="0" applyNumberFormat="1" applyFont="1" applyFill="1" applyBorder="1" applyAlignment="1">
      <alignment horizontal="center" vertical="center" shrinkToFit="1"/>
    </xf>
    <xf numFmtId="0" fontId="5" fillId="3" borderId="7" xfId="0" applyFont="1" applyFill="1" applyBorder="1" applyAlignment="1">
      <alignment horizontal="left" vertical="top"/>
    </xf>
    <xf numFmtId="38" fontId="13" fillId="3" borderId="7" xfId="0" applyNumberFormat="1" applyFont="1" applyFill="1" applyBorder="1" applyAlignment="1">
      <alignment horizontal="center" vertical="top" wrapText="1"/>
    </xf>
    <xf numFmtId="38" fontId="12" fillId="3" borderId="7" xfId="0" applyNumberFormat="1" applyFont="1" applyFill="1" applyBorder="1" applyAlignment="1">
      <alignment horizontal="center" vertical="top" shrinkToFit="1"/>
    </xf>
    <xf numFmtId="38" fontId="10" fillId="5" borderId="1" xfId="1" applyNumberFormat="1" applyFont="1" applyFill="1" applyBorder="1" applyAlignment="1">
      <alignment horizontal="center" vertical="top" shrinkToFit="1"/>
    </xf>
    <xf numFmtId="38" fontId="10" fillId="4" borderId="2" xfId="1" applyNumberFormat="1" applyFont="1" applyFill="1" applyBorder="1" applyAlignment="1">
      <alignment horizontal="center" vertical="top" wrapText="1"/>
    </xf>
    <xf numFmtId="0" fontId="9" fillId="0" borderId="0" xfId="0" applyFont="1" applyAlignment="1">
      <alignment horizontal="center" vertical="center"/>
    </xf>
    <xf numFmtId="38" fontId="12" fillId="5" borderId="2" xfId="0" applyNumberFormat="1" applyFont="1" applyFill="1" applyBorder="1" applyAlignment="1">
      <alignment horizontal="center" vertical="center"/>
    </xf>
    <xf numFmtId="38" fontId="12" fillId="5" borderId="2" xfId="0" applyNumberFormat="1" applyFont="1" applyFill="1" applyBorder="1" applyAlignment="1">
      <alignment horizontal="center" vertical="top"/>
    </xf>
    <xf numFmtId="0" fontId="12" fillId="0" borderId="0" xfId="0" applyFont="1" applyAlignment="1">
      <alignment horizontal="center" vertical="top"/>
    </xf>
    <xf numFmtId="0" fontId="5" fillId="3" borderId="4" xfId="0" applyFont="1" applyFill="1" applyBorder="1" applyAlignment="1">
      <alignment vertical="top"/>
    </xf>
    <xf numFmtId="38" fontId="12" fillId="3" borderId="2" xfId="0" applyNumberFormat="1" applyFont="1" applyFill="1" applyBorder="1" applyAlignment="1">
      <alignment horizontal="center" vertical="center" wrapText="1"/>
    </xf>
    <xf numFmtId="38" fontId="10" fillId="5" borderId="2" xfId="0" applyNumberFormat="1" applyFont="1" applyFill="1" applyBorder="1" applyAlignment="1">
      <alignment horizontal="center" vertical="top"/>
    </xf>
    <xf numFmtId="38" fontId="12" fillId="5" borderId="2" xfId="1" applyNumberFormat="1" applyFont="1" applyFill="1" applyBorder="1" applyAlignment="1">
      <alignment horizontal="center" vertical="top"/>
    </xf>
    <xf numFmtId="38" fontId="6" fillId="5" borderId="2" xfId="1" applyNumberFormat="1" applyFont="1" applyFill="1" applyBorder="1" applyAlignment="1">
      <alignment horizontal="center" vertical="center" wrapText="1"/>
    </xf>
    <xf numFmtId="38" fontId="5" fillId="5" borderId="2" xfId="1" applyNumberFormat="1" applyFont="1" applyFill="1" applyBorder="1" applyAlignment="1">
      <alignment horizontal="center" vertical="center" shrinkToFit="1"/>
    </xf>
    <xf numFmtId="38" fontId="8" fillId="5" borderId="1" xfId="1" applyNumberFormat="1" applyFont="1" applyFill="1" applyBorder="1" applyAlignment="1">
      <alignment horizontal="center" vertical="center" wrapText="1"/>
    </xf>
    <xf numFmtId="0" fontId="5" fillId="5" borderId="11" xfId="2" applyFont="1" applyFill="1" applyBorder="1" applyAlignment="1">
      <alignment horizontal="left" vertical="top"/>
    </xf>
    <xf numFmtId="0" fontId="12" fillId="5" borderId="11" xfId="2" applyFont="1" applyFill="1" applyBorder="1" applyAlignment="1">
      <alignment horizontal="left" vertical="top"/>
    </xf>
    <xf numFmtId="0" fontId="13" fillId="5" borderId="11" xfId="2" applyFont="1" applyFill="1" applyBorder="1" applyAlignment="1">
      <alignment horizontal="left" vertical="top" wrapText="1"/>
    </xf>
    <xf numFmtId="38" fontId="12" fillId="5" borderId="11" xfId="0" applyNumberFormat="1" applyFont="1" applyFill="1" applyBorder="1" applyAlignment="1">
      <alignment horizontal="center" vertical="top"/>
    </xf>
    <xf numFmtId="38" fontId="12" fillId="5" borderId="11" xfId="1" applyNumberFormat="1" applyFont="1" applyFill="1" applyBorder="1" applyAlignment="1">
      <alignment horizontal="center" vertical="top" shrinkToFit="1"/>
    </xf>
    <xf numFmtId="38" fontId="8" fillId="2" borderId="1" xfId="0" applyNumberFormat="1" applyFont="1" applyFill="1" applyBorder="1" applyAlignment="1">
      <alignment horizontal="center" wrapText="1"/>
    </xf>
    <xf numFmtId="0" fontId="2" fillId="0" borderId="0" xfId="5"/>
    <xf numFmtId="0" fontId="16" fillId="0" borderId="0" xfId="5" applyFont="1"/>
    <xf numFmtId="0" fontId="16" fillId="0" borderId="0" xfId="5" applyFont="1" applyAlignment="1">
      <alignment vertical="center" wrapText="1"/>
    </xf>
    <xf numFmtId="7" fontId="5" fillId="0" borderId="2" xfId="6" applyNumberFormat="1" applyFont="1" applyBorder="1" applyAlignment="1">
      <alignment horizontal="center" vertical="center"/>
    </xf>
    <xf numFmtId="0" fontId="16" fillId="0" borderId="2" xfId="5" applyFont="1" applyBorder="1" applyAlignment="1">
      <alignment horizontal="center"/>
    </xf>
    <xf numFmtId="0" fontId="16" fillId="0" borderId="2" xfId="5" applyFont="1" applyBorder="1"/>
    <xf numFmtId="0" fontId="0" fillId="0" borderId="0" xfId="5" applyFont="1"/>
    <xf numFmtId="164" fontId="16" fillId="0" borderId="2" xfId="5" applyNumberFormat="1" applyFont="1" applyBorder="1" applyAlignment="1">
      <alignment horizontal="center" vertical="center"/>
    </xf>
    <xf numFmtId="0" fontId="16" fillId="0" borderId="2" xfId="5" applyFont="1" applyBorder="1" applyAlignment="1">
      <alignment horizontal="center" vertical="center"/>
    </xf>
    <xf numFmtId="0" fontId="11" fillId="5" borderId="2" xfId="0" applyFont="1" applyFill="1" applyBorder="1" applyAlignment="1">
      <alignment vertical="center" wrapText="1"/>
    </xf>
    <xf numFmtId="0" fontId="8" fillId="5" borderId="2" xfId="0" applyFont="1" applyFill="1" applyBorder="1" applyAlignment="1">
      <alignment vertical="center" wrapText="1"/>
    </xf>
    <xf numFmtId="0" fontId="9" fillId="5" borderId="2" xfId="0" applyFont="1" applyFill="1" applyBorder="1" applyAlignment="1">
      <alignment vertical="center"/>
    </xf>
    <xf numFmtId="0" fontId="1" fillId="0" borderId="0" xfId="5" applyFont="1"/>
    <xf numFmtId="0" fontId="5" fillId="5" borderId="2" xfId="0" applyFont="1" applyFill="1" applyBorder="1" applyAlignment="1">
      <alignment vertical="center"/>
    </xf>
    <xf numFmtId="0" fontId="0" fillId="5" borderId="2" xfId="0" applyFill="1" applyBorder="1" applyAlignment="1">
      <alignment horizontal="center" vertical="center"/>
    </xf>
    <xf numFmtId="0" fontId="5" fillId="5" borderId="2" xfId="0" applyFont="1" applyFill="1" applyBorder="1" applyAlignment="1">
      <alignment horizontal="left" vertical="top"/>
    </xf>
    <xf numFmtId="0" fontId="13" fillId="5" borderId="2" xfId="2" applyFont="1" applyFill="1" applyBorder="1" applyAlignment="1">
      <alignment horizontal="left" vertical="center" wrapText="1"/>
    </xf>
    <xf numFmtId="0" fontId="11" fillId="5" borderId="2" xfId="2" applyFont="1" applyFill="1" applyBorder="1" applyAlignment="1">
      <alignment horizontal="left" vertical="top" wrapText="1"/>
    </xf>
    <xf numFmtId="0" fontId="10" fillId="5" borderId="2" xfId="2" applyFont="1" applyFill="1" applyBorder="1" applyAlignment="1">
      <alignment horizontal="left" vertical="top"/>
    </xf>
    <xf numFmtId="0" fontId="13" fillId="5" borderId="2" xfId="2" applyFont="1" applyFill="1" applyBorder="1" applyAlignment="1">
      <alignment horizontal="left" vertical="top" wrapText="1"/>
    </xf>
    <xf numFmtId="0" fontId="12" fillId="5" borderId="2" xfId="2" applyFont="1" applyFill="1" applyBorder="1" applyAlignment="1">
      <alignment horizontal="left" vertical="top" wrapText="1"/>
    </xf>
    <xf numFmtId="0" fontId="11" fillId="3" borderId="4" xfId="0" applyFont="1" applyFill="1" applyBorder="1" applyAlignment="1">
      <alignment horizontal="left" vertical="center" wrapText="1"/>
    </xf>
    <xf numFmtId="0" fontId="9" fillId="5" borderId="2" xfId="0" applyFont="1" applyFill="1" applyBorder="1" applyAlignment="1">
      <alignment horizontal="left" vertical="top"/>
    </xf>
    <xf numFmtId="0" fontId="8" fillId="5" borderId="2" xfId="0" applyFont="1" applyFill="1" applyBorder="1" applyAlignment="1">
      <alignment vertical="top" wrapText="1"/>
    </xf>
    <xf numFmtId="0" fontId="8" fillId="0" borderId="2" xfId="0" applyFont="1" applyBorder="1" applyAlignment="1">
      <alignment horizontal="center" vertical="center" wrapText="1"/>
    </xf>
    <xf numFmtId="0" fontId="16" fillId="0" borderId="0" xfId="5" applyFont="1" applyAlignment="1">
      <alignment horizontal="left" vertical="center" wrapText="1"/>
    </xf>
    <xf numFmtId="0" fontId="0" fillId="0" borderId="0" xfId="0" applyAlignment="1">
      <alignment horizontal="center" wrapText="1"/>
    </xf>
    <xf numFmtId="38" fontId="18" fillId="3" borderId="2" xfId="0" applyNumberFormat="1" applyFont="1" applyFill="1" applyBorder="1" applyAlignment="1">
      <alignment horizontal="center" vertical="top" shrinkToFit="1"/>
    </xf>
    <xf numFmtId="38" fontId="8" fillId="5" borderId="2" xfId="1" applyNumberFormat="1" applyFont="1" applyFill="1" applyBorder="1" applyAlignment="1">
      <alignment horizontal="center" vertical="top" wrapText="1"/>
    </xf>
    <xf numFmtId="38" fontId="18" fillId="5" borderId="2" xfId="0" applyNumberFormat="1" applyFont="1" applyFill="1" applyBorder="1" applyAlignment="1">
      <alignment horizontal="center" shrinkToFit="1"/>
    </xf>
    <xf numFmtId="0" fontId="20" fillId="0" borderId="0" xfId="0" applyFont="1" applyAlignment="1">
      <alignment horizontal="left" vertical="top"/>
    </xf>
    <xf numFmtId="0" fontId="20" fillId="5" borderId="2" xfId="2" applyFont="1" applyFill="1" applyBorder="1" applyAlignment="1">
      <alignment horizontal="left" vertical="top"/>
    </xf>
    <xf numFmtId="0" fontId="18" fillId="5" borderId="2" xfId="2" applyFont="1" applyFill="1" applyBorder="1" applyAlignment="1">
      <alignment horizontal="left" vertical="top"/>
    </xf>
    <xf numFmtId="0" fontId="19" fillId="5" borderId="2" xfId="2" applyFont="1" applyFill="1" applyBorder="1" applyAlignment="1">
      <alignment horizontal="left" vertical="top" wrapText="1"/>
    </xf>
    <xf numFmtId="38" fontId="18" fillId="5" borderId="2" xfId="0" applyNumberFormat="1" applyFont="1" applyFill="1" applyBorder="1" applyAlignment="1">
      <alignment horizontal="center" vertical="top"/>
    </xf>
    <xf numFmtId="38" fontId="18" fillId="5" borderId="2" xfId="1" applyNumberFormat="1" applyFont="1" applyFill="1" applyBorder="1" applyAlignment="1">
      <alignment horizontal="center" vertical="top" shrinkToFit="1"/>
    </xf>
    <xf numFmtId="0" fontId="12" fillId="5" borderId="4" xfId="0" applyFont="1" applyFill="1" applyBorder="1" applyAlignment="1">
      <alignment vertical="center"/>
    </xf>
    <xf numFmtId="0" fontId="12" fillId="5" borderId="5" xfId="0" applyFont="1" applyFill="1" applyBorder="1" applyAlignment="1">
      <alignment vertical="center"/>
    </xf>
    <xf numFmtId="0" fontId="13" fillId="5" borderId="3" xfId="0" applyFont="1" applyFill="1" applyBorder="1" applyAlignment="1">
      <alignment vertical="center" wrapText="1"/>
    </xf>
    <xf numFmtId="38" fontId="12" fillId="3" borderId="8" xfId="0" applyNumberFormat="1" applyFont="1" applyFill="1" applyBorder="1" applyAlignment="1">
      <alignment horizontal="center" vertical="top" shrinkToFit="1"/>
    </xf>
    <xf numFmtId="38" fontId="12" fillId="3" borderId="10" xfId="0" applyNumberFormat="1" applyFont="1" applyFill="1" applyBorder="1" applyAlignment="1">
      <alignment horizontal="center" vertical="top" shrinkToFit="1"/>
    </xf>
    <xf numFmtId="38" fontId="12" fillId="3" borderId="4" xfId="0" applyNumberFormat="1" applyFont="1" applyFill="1" applyBorder="1" applyAlignment="1">
      <alignment horizontal="center" shrinkToFit="1"/>
    </xf>
    <xf numFmtId="38" fontId="12" fillId="3" borderId="3" xfId="0" applyNumberFormat="1" applyFont="1" applyFill="1" applyBorder="1" applyAlignment="1">
      <alignment horizontal="center" vertical="top" shrinkToFit="1"/>
    </xf>
    <xf numFmtId="38" fontId="12" fillId="3" borderId="1" xfId="0" applyNumberFormat="1" applyFont="1" applyFill="1" applyBorder="1" applyAlignment="1">
      <alignment horizontal="center" vertical="top" shrinkToFit="1"/>
    </xf>
    <xf numFmtId="38" fontId="2" fillId="0" borderId="0" xfId="5" applyNumberFormat="1"/>
    <xf numFmtId="164" fontId="16" fillId="0" borderId="2" xfId="1" applyNumberFormat="1" applyFont="1" applyFill="1" applyBorder="1" applyAlignment="1">
      <alignment horizontal="center" vertical="center"/>
    </xf>
    <xf numFmtId="0" fontId="5" fillId="0" borderId="2" xfId="0" applyFont="1" applyBorder="1" applyAlignment="1">
      <alignment horizontal="left" vertical="top"/>
    </xf>
    <xf numFmtId="0" fontId="9" fillId="0" borderId="2" xfId="0" applyFont="1" applyBorder="1" applyAlignment="1">
      <alignment horizontal="left" vertical="top"/>
    </xf>
    <xf numFmtId="0" fontId="5" fillId="0" borderId="2" xfId="0" applyFont="1" applyBorder="1" applyAlignment="1">
      <alignment horizontal="left" vertical="center"/>
    </xf>
    <xf numFmtId="0" fontId="9" fillId="0" borderId="2" xfId="0" applyFont="1" applyBorder="1" applyAlignment="1">
      <alignment horizontal="left" vertical="center"/>
    </xf>
    <xf numFmtId="0" fontId="0" fillId="0" borderId="2" xfId="0" applyBorder="1" applyAlignment="1">
      <alignment horizontal="center" vertical="center"/>
    </xf>
    <xf numFmtId="0" fontId="2" fillId="0" borderId="0" xfId="5" applyAlignment="1">
      <alignment horizontal="center"/>
    </xf>
    <xf numFmtId="0" fontId="17" fillId="0" borderId="2" xfId="5" applyFont="1" applyBorder="1" applyAlignment="1">
      <alignment horizontal="center" vertical="center"/>
    </xf>
    <xf numFmtId="0" fontId="8" fillId="0" borderId="2" xfId="5" applyFont="1" applyBorder="1" applyAlignment="1">
      <alignment horizontal="center" vertical="center" wrapText="1"/>
    </xf>
    <xf numFmtId="38" fontId="8" fillId="3" borderId="1" xfId="0" applyNumberFormat="1" applyFont="1" applyFill="1" applyBorder="1" applyAlignment="1">
      <alignment horizontal="center" vertical="center" wrapText="1"/>
    </xf>
    <xf numFmtId="38" fontId="9" fillId="3" borderId="1" xfId="0" applyNumberFormat="1" applyFont="1" applyFill="1" applyBorder="1" applyAlignment="1">
      <alignment horizontal="center" vertical="center" shrinkToFit="1"/>
    </xf>
    <xf numFmtId="38" fontId="9" fillId="3" borderId="1" xfId="0" applyNumberFormat="1" applyFont="1" applyFill="1" applyBorder="1" applyAlignment="1">
      <alignment horizontal="center" vertical="center"/>
    </xf>
    <xf numFmtId="38" fontId="8" fillId="3" borderId="2" xfId="0" applyNumberFormat="1" applyFont="1" applyFill="1" applyBorder="1" applyAlignment="1">
      <alignment horizontal="center" vertical="center" wrapText="1"/>
    </xf>
    <xf numFmtId="38" fontId="9" fillId="3" borderId="2" xfId="0" applyNumberFormat="1" applyFont="1" applyFill="1" applyBorder="1" applyAlignment="1">
      <alignment horizontal="center" vertical="center"/>
    </xf>
    <xf numFmtId="38" fontId="8" fillId="3" borderId="7" xfId="0" applyNumberFormat="1" applyFont="1" applyFill="1" applyBorder="1" applyAlignment="1">
      <alignment horizontal="center" vertical="center" wrapText="1"/>
    </xf>
    <xf numFmtId="38" fontId="9" fillId="3" borderId="7" xfId="0" applyNumberFormat="1" applyFont="1" applyFill="1" applyBorder="1" applyAlignment="1">
      <alignment horizontal="center" vertical="center" shrinkToFit="1"/>
    </xf>
    <xf numFmtId="38" fontId="9" fillId="3" borderId="7" xfId="0" applyNumberFormat="1" applyFont="1" applyFill="1" applyBorder="1" applyAlignment="1">
      <alignment horizontal="center" vertical="center"/>
    </xf>
    <xf numFmtId="0" fontId="9" fillId="0" borderId="0" xfId="0" applyFont="1" applyAlignment="1">
      <alignment horizontal="left" vertical="top"/>
    </xf>
    <xf numFmtId="38" fontId="8" fillId="5" borderId="1" xfId="0" applyNumberFormat="1" applyFont="1" applyFill="1" applyBorder="1" applyAlignment="1">
      <alignment horizontal="center" vertical="center" wrapText="1"/>
    </xf>
    <xf numFmtId="0" fontId="13" fillId="5" borderId="2" xfId="0" applyFont="1" applyFill="1" applyBorder="1" applyAlignment="1">
      <alignment horizontal="left" wrapText="1"/>
    </xf>
    <xf numFmtId="38" fontId="10" fillId="5" borderId="2" xfId="0" applyNumberFormat="1" applyFont="1" applyFill="1" applyBorder="1" applyAlignment="1">
      <alignment horizontal="center" vertical="center" shrinkToFit="1"/>
    </xf>
    <xf numFmtId="38" fontId="9" fillId="5" borderId="2" xfId="0" applyNumberFormat="1" applyFont="1" applyFill="1" applyBorder="1" applyAlignment="1">
      <alignment horizontal="center" vertical="center"/>
    </xf>
    <xf numFmtId="0" fontId="10" fillId="0" borderId="0" xfId="0" applyFont="1" applyAlignment="1">
      <alignment horizontal="left" vertical="top"/>
    </xf>
    <xf numFmtId="0" fontId="11" fillId="5" borderId="2" xfId="0" applyFont="1" applyFill="1" applyBorder="1" applyAlignment="1">
      <alignment horizontal="left" vertical="top" wrapText="1"/>
    </xf>
    <xf numFmtId="0" fontId="13" fillId="5" borderId="2" xfId="0" applyFont="1" applyFill="1" applyBorder="1" applyAlignment="1">
      <alignment horizontal="center" vertical="top" wrapText="1"/>
    </xf>
    <xf numFmtId="38" fontId="5" fillId="0" borderId="0" xfId="0" applyNumberFormat="1" applyFont="1" applyAlignment="1">
      <alignment horizontal="center" vertical="center"/>
    </xf>
    <xf numFmtId="38" fontId="9" fillId="6" borderId="2" xfId="0" applyNumberFormat="1" applyFont="1" applyFill="1" applyBorder="1" applyAlignment="1">
      <alignment horizontal="center" vertical="center"/>
    </xf>
    <xf numFmtId="38" fontId="9" fillId="7" borderId="1" xfId="0" applyNumberFormat="1" applyFont="1" applyFill="1" applyBorder="1" applyAlignment="1">
      <alignment horizontal="center" vertical="center"/>
    </xf>
    <xf numFmtId="0" fontId="11" fillId="0" borderId="2" xfId="0" applyFont="1" applyBorder="1" applyAlignment="1">
      <alignment horizontal="center" wrapText="1"/>
    </xf>
    <xf numFmtId="0" fontId="21" fillId="0" borderId="0" xfId="0" applyFont="1" applyAlignment="1">
      <alignment horizontal="center" wrapText="1"/>
    </xf>
    <xf numFmtId="0" fontId="13" fillId="5" borderId="2" xfId="0" applyFont="1" applyFill="1" applyBorder="1" applyAlignment="1">
      <alignment vertical="top" wrapText="1"/>
    </xf>
    <xf numFmtId="38" fontId="9" fillId="6" borderId="2" xfId="0" applyNumberFormat="1" applyFont="1" applyFill="1" applyBorder="1" applyAlignment="1">
      <alignment horizontal="center"/>
    </xf>
    <xf numFmtId="38" fontId="9" fillId="7" borderId="1" xfId="0" applyNumberFormat="1" applyFont="1" applyFill="1" applyBorder="1" applyAlignment="1">
      <alignment horizontal="center"/>
    </xf>
    <xf numFmtId="38" fontId="9" fillId="7" borderId="2" xfId="0" applyNumberFormat="1" applyFont="1" applyFill="1" applyBorder="1" applyAlignment="1">
      <alignment horizontal="center"/>
    </xf>
    <xf numFmtId="38" fontId="8" fillId="6" borderId="2" xfId="0" applyNumberFormat="1" applyFont="1" applyFill="1" applyBorder="1" applyAlignment="1">
      <alignment horizontal="center" wrapText="1"/>
    </xf>
    <xf numFmtId="0" fontId="9" fillId="7" borderId="1" xfId="0" applyFont="1" applyFill="1" applyBorder="1" applyAlignment="1">
      <alignment vertical="top"/>
    </xf>
    <xf numFmtId="38" fontId="9" fillId="7" borderId="1" xfId="0" applyNumberFormat="1" applyFont="1" applyFill="1" applyBorder="1" applyAlignment="1">
      <alignment horizontal="center" vertical="top"/>
    </xf>
    <xf numFmtId="0" fontId="9" fillId="7" borderId="2" xfId="0" applyFont="1" applyFill="1" applyBorder="1" applyAlignment="1">
      <alignment vertical="top"/>
    </xf>
    <xf numFmtId="38" fontId="9" fillId="7" borderId="2" xfId="0" applyNumberFormat="1" applyFont="1" applyFill="1" applyBorder="1" applyAlignment="1">
      <alignment horizontal="center" vertical="top"/>
    </xf>
    <xf numFmtId="0" fontId="9" fillId="0" borderId="2" xfId="0" applyFont="1" applyBorder="1" applyAlignment="1">
      <alignment horizontal="center" vertical="center"/>
    </xf>
    <xf numFmtId="0" fontId="9" fillId="0" borderId="7" xfId="0" applyFont="1" applyBorder="1" applyAlignment="1">
      <alignment horizontal="center" vertical="center" wrapText="1"/>
    </xf>
    <xf numFmtId="0" fontId="9" fillId="6" borderId="2" xfId="0" applyFont="1" applyFill="1" applyBorder="1" applyAlignment="1">
      <alignment vertical="top"/>
    </xf>
    <xf numFmtId="38" fontId="9" fillId="6" borderId="2" xfId="0" applyNumberFormat="1" applyFont="1" applyFill="1" applyBorder="1" applyAlignment="1">
      <alignment horizontal="center" vertical="center" wrapText="1"/>
    </xf>
    <xf numFmtId="0" fontId="9" fillId="7" borderId="4" xfId="0" applyFont="1" applyFill="1" applyBorder="1" applyAlignment="1">
      <alignment vertical="top"/>
    </xf>
    <xf numFmtId="0" fontId="9" fillId="7" borderId="5" xfId="0" applyFont="1" applyFill="1" applyBorder="1" applyAlignment="1">
      <alignment vertical="top"/>
    </xf>
    <xf numFmtId="0" fontId="9" fillId="7" borderId="3" xfId="0" applyFont="1" applyFill="1" applyBorder="1" applyAlignment="1">
      <alignment vertical="top"/>
    </xf>
    <xf numFmtId="0" fontId="12" fillId="7" borderId="2" xfId="0" applyFont="1" applyFill="1" applyBorder="1" applyAlignment="1">
      <alignment horizontal="left" vertical="top"/>
    </xf>
    <xf numFmtId="14" fontId="12" fillId="7" borderId="2" xfId="0" applyNumberFormat="1" applyFont="1" applyFill="1" applyBorder="1" applyAlignment="1">
      <alignment horizontal="center" vertical="center"/>
    </xf>
    <xf numFmtId="165" fontId="12" fillId="7" borderId="2" xfId="0" applyNumberFormat="1" applyFont="1" applyFill="1" applyBorder="1" applyAlignment="1">
      <alignment horizontal="center" vertical="center"/>
    </xf>
    <xf numFmtId="38" fontId="12" fillId="7" borderId="1" xfId="7" applyNumberFormat="1" applyFont="1" applyFill="1" applyBorder="1" applyAlignment="1">
      <alignment horizontal="center" vertical="center"/>
    </xf>
    <xf numFmtId="38" fontId="12" fillId="7" borderId="1" xfId="0" applyNumberFormat="1" applyFont="1" applyFill="1" applyBorder="1" applyAlignment="1">
      <alignment horizontal="center" vertical="center"/>
    </xf>
    <xf numFmtId="38" fontId="12" fillId="7" borderId="2" xfId="7" applyNumberFormat="1" applyFont="1" applyFill="1" applyBorder="1" applyAlignment="1">
      <alignment horizontal="center" vertical="center"/>
    </xf>
    <xf numFmtId="38" fontId="12" fillId="7" borderId="2" xfId="0" applyNumberFormat="1" applyFont="1" applyFill="1" applyBorder="1" applyAlignment="1">
      <alignment horizontal="center" vertical="center"/>
    </xf>
    <xf numFmtId="38" fontId="12" fillId="7" borderId="7" xfId="7" applyNumberFormat="1" applyFont="1" applyFill="1" applyBorder="1" applyAlignment="1">
      <alignment horizontal="center" vertical="center"/>
    </xf>
    <xf numFmtId="38" fontId="12" fillId="7" borderId="7" xfId="0" applyNumberFormat="1" applyFont="1" applyFill="1" applyBorder="1" applyAlignment="1">
      <alignment horizontal="center" vertical="center"/>
    </xf>
    <xf numFmtId="38" fontId="9" fillId="7" borderId="2" xfId="7" applyNumberFormat="1" applyFont="1" applyFill="1" applyBorder="1" applyAlignment="1">
      <alignment horizontal="center" vertical="center"/>
    </xf>
    <xf numFmtId="38" fontId="9" fillId="7" borderId="2" xfId="0" applyNumberFormat="1" applyFont="1" applyFill="1" applyBorder="1" applyAlignment="1">
      <alignment horizontal="center" vertical="center"/>
    </xf>
    <xf numFmtId="38" fontId="5" fillId="0" borderId="0" xfId="0" applyNumberFormat="1" applyFont="1" applyAlignment="1">
      <alignment horizontal="left" vertical="top"/>
    </xf>
    <xf numFmtId="38" fontId="12" fillId="3" borderId="3" xfId="0" applyNumberFormat="1" applyFont="1" applyFill="1" applyBorder="1" applyAlignment="1">
      <alignment horizontal="center" shrinkToFit="1"/>
    </xf>
    <xf numFmtId="3" fontId="9" fillId="7" borderId="2" xfId="0" applyNumberFormat="1" applyFont="1" applyFill="1" applyBorder="1" applyAlignment="1">
      <alignment horizontal="center"/>
    </xf>
    <xf numFmtId="3" fontId="9" fillId="6" borderId="2" xfId="0" applyNumberFormat="1" applyFont="1" applyFill="1" applyBorder="1" applyAlignment="1">
      <alignment horizontal="center"/>
    </xf>
    <xf numFmtId="7" fontId="5" fillId="0" borderId="2" xfId="6" applyNumberFormat="1" applyFont="1" applyFill="1" applyBorder="1" applyAlignment="1">
      <alignment horizontal="center" vertical="center"/>
    </xf>
    <xf numFmtId="38" fontId="13" fillId="5" borderId="2" xfId="1" applyNumberFormat="1" applyFont="1" applyFill="1" applyBorder="1" applyAlignment="1">
      <alignment horizontal="center" wrapText="1"/>
    </xf>
    <xf numFmtId="0" fontId="5" fillId="3" borderId="2" xfId="0" applyFont="1" applyFill="1" applyBorder="1" applyAlignment="1">
      <alignment horizontal="center" vertical="top" wrapText="1"/>
    </xf>
    <xf numFmtId="0" fontId="6" fillId="3" borderId="2" xfId="0" applyFont="1" applyFill="1" applyBorder="1" applyAlignment="1">
      <alignment horizontal="center" vertical="top" wrapText="1"/>
    </xf>
    <xf numFmtId="3" fontId="5" fillId="3" borderId="2" xfId="0" applyNumberFormat="1" applyFont="1" applyFill="1" applyBorder="1" applyAlignment="1">
      <alignment horizontal="center" vertical="top" wrapText="1"/>
    </xf>
    <xf numFmtId="38" fontId="13" fillId="5" borderId="2" xfId="0" applyNumberFormat="1" applyFont="1" applyFill="1" applyBorder="1" applyAlignment="1">
      <alignment horizontal="center" vertical="center" shrinkToFit="1"/>
    </xf>
    <xf numFmtId="0" fontId="13" fillId="3" borderId="4" xfId="0" applyFont="1" applyFill="1" applyBorder="1" applyAlignment="1">
      <alignment horizontal="left" vertical="top" wrapText="1"/>
    </xf>
    <xf numFmtId="0" fontId="13" fillId="3" borderId="5" xfId="0" applyFont="1" applyFill="1" applyBorder="1" applyAlignment="1">
      <alignment horizontal="left" vertical="top" wrapText="1"/>
    </xf>
    <xf numFmtId="0" fontId="13"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3" xfId="0" applyFont="1" applyFill="1" applyBorder="1" applyAlignment="1">
      <alignment horizontal="left" vertical="top"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3" fillId="3" borderId="4" xfId="0" applyFont="1" applyFill="1" applyBorder="1" applyAlignment="1">
      <alignment vertical="top" wrapText="1"/>
    </xf>
    <xf numFmtId="0" fontId="13" fillId="3" borderId="5" xfId="0" applyFont="1" applyFill="1" applyBorder="1" applyAlignment="1">
      <alignment vertical="top" wrapText="1"/>
    </xf>
    <xf numFmtId="0" fontId="13" fillId="3" borderId="3" xfId="0" applyFont="1" applyFill="1" applyBorder="1" applyAlignment="1">
      <alignmen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3" borderId="10" xfId="0" applyFont="1" applyFill="1" applyBorder="1" applyAlignment="1">
      <alignment horizontal="left" vertical="top" wrapText="1"/>
    </xf>
    <xf numFmtId="0" fontId="11" fillId="3" borderId="4" xfId="0" applyFont="1" applyFill="1" applyBorder="1" applyAlignment="1">
      <alignment vertical="top" wrapText="1"/>
    </xf>
    <xf numFmtId="0" fontId="11" fillId="3" borderId="5" xfId="0" applyFont="1" applyFill="1" applyBorder="1" applyAlignment="1">
      <alignment vertical="top" wrapText="1"/>
    </xf>
    <xf numFmtId="0" fontId="11" fillId="3" borderId="3" xfId="0" applyFont="1" applyFill="1" applyBorder="1" applyAlignment="1">
      <alignmen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3" xfId="0" applyFont="1" applyFill="1" applyBorder="1" applyAlignment="1">
      <alignment horizontal="left" vertical="top" wrapText="1"/>
    </xf>
    <xf numFmtId="0" fontId="11" fillId="3" borderId="2" xfId="0" applyFont="1" applyFill="1" applyBorder="1" applyAlignment="1">
      <alignment horizontal="left" vertical="top" wrapText="1"/>
    </xf>
    <xf numFmtId="0" fontId="9" fillId="4" borderId="2" xfId="0" applyFont="1" applyFill="1" applyBorder="1" applyAlignment="1">
      <alignment horizontal="left" vertical="top"/>
    </xf>
    <xf numFmtId="0" fontId="13" fillId="3" borderId="2" xfId="0" applyFont="1" applyFill="1" applyBorder="1" applyAlignment="1">
      <alignment horizontal="left" vertical="top" wrapText="1"/>
    </xf>
    <xf numFmtId="0" fontId="11" fillId="5" borderId="2" xfId="2" applyFont="1" applyFill="1" applyBorder="1" applyAlignment="1">
      <alignment horizontal="left" vertical="top" wrapText="1"/>
    </xf>
    <xf numFmtId="0" fontId="12" fillId="5" borderId="2" xfId="2" applyFont="1" applyFill="1" applyBorder="1" applyAlignment="1">
      <alignment horizontal="left" vertical="top" wrapText="1"/>
    </xf>
    <xf numFmtId="0" fontId="11" fillId="5" borderId="2" xfId="2" applyFont="1" applyFill="1" applyBorder="1" applyAlignment="1">
      <alignment horizontal="left" wrapText="1"/>
    </xf>
    <xf numFmtId="0" fontId="9" fillId="2" borderId="0" xfId="0" applyFont="1" applyFill="1" applyAlignment="1">
      <alignment horizontal="left" vertical="top" wrapText="1"/>
    </xf>
    <xf numFmtId="0" fontId="9" fillId="2" borderId="6"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2" xfId="0" applyFont="1" applyFill="1" applyBorder="1" applyAlignment="1">
      <alignment horizontal="left" vertical="center" wrapText="1"/>
    </xf>
    <xf numFmtId="0" fontId="11" fillId="5" borderId="2" xfId="2" applyFont="1" applyFill="1" applyBorder="1" applyAlignment="1">
      <alignment horizontal="left" vertical="center" wrapText="1"/>
    </xf>
    <xf numFmtId="0" fontId="13" fillId="5" borderId="2" xfId="2" applyFont="1" applyFill="1" applyBorder="1" applyAlignment="1">
      <alignment horizontal="left" vertical="center" wrapText="1"/>
    </xf>
    <xf numFmtId="0" fontId="10" fillId="5" borderId="2" xfId="2" applyFont="1" applyFill="1" applyBorder="1" applyAlignment="1">
      <alignment horizontal="left" vertical="top"/>
    </xf>
    <xf numFmtId="0" fontId="11" fillId="5" borderId="4" xfId="2" applyFont="1" applyFill="1" applyBorder="1" applyAlignment="1">
      <alignment horizontal="left" vertical="top" wrapText="1"/>
    </xf>
    <xf numFmtId="0" fontId="11" fillId="5" borderId="3" xfId="2" applyFont="1" applyFill="1" applyBorder="1" applyAlignment="1">
      <alignment horizontal="left" vertical="top" wrapText="1"/>
    </xf>
    <xf numFmtId="0" fontId="13" fillId="5" borderId="2" xfId="2" applyFont="1" applyFill="1" applyBorder="1" applyAlignment="1">
      <alignment horizontal="left" vertical="top" wrapText="1"/>
    </xf>
    <xf numFmtId="0" fontId="8" fillId="5" borderId="1" xfId="2" applyFont="1" applyFill="1" applyBorder="1" applyAlignment="1">
      <alignment horizontal="left" vertical="center" wrapText="1"/>
    </xf>
    <xf numFmtId="0" fontId="11" fillId="5" borderId="2" xfId="2" applyFont="1" applyFill="1" applyBorder="1" applyAlignment="1">
      <alignment horizontal="left"/>
    </xf>
    <xf numFmtId="0" fontId="13" fillId="5" borderId="2" xfId="2" applyFont="1" applyFill="1" applyBorder="1" applyAlignment="1">
      <alignment horizontal="left" wrapText="1"/>
    </xf>
    <xf numFmtId="0" fontId="8" fillId="5" borderId="2" xfId="2" applyFont="1" applyFill="1" applyBorder="1" applyAlignment="1">
      <alignment horizontal="left" vertical="center" wrapText="1"/>
    </xf>
    <xf numFmtId="0" fontId="11" fillId="5" borderId="2" xfId="2" applyFont="1" applyFill="1" applyBorder="1" applyAlignment="1">
      <alignment vertical="top" wrapText="1"/>
    </xf>
    <xf numFmtId="0" fontId="9" fillId="5" borderId="2" xfId="2" applyFont="1" applyFill="1" applyBorder="1" applyAlignment="1">
      <alignment horizontal="left" vertical="top"/>
    </xf>
    <xf numFmtId="0" fontId="8" fillId="5" borderId="1" xfId="2" applyFont="1" applyFill="1" applyBorder="1" applyAlignment="1">
      <alignment horizontal="left" wrapText="1"/>
    </xf>
    <xf numFmtId="0" fontId="0" fillId="0" borderId="0" xfId="0" applyAlignment="1">
      <alignment horizontal="center" wrapText="1"/>
    </xf>
    <xf numFmtId="0" fontId="0" fillId="0" borderId="0" xfId="0" applyAlignment="1">
      <alignment horizont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2" borderId="2" xfId="0" applyFont="1" applyFill="1" applyBorder="1" applyAlignment="1">
      <alignment horizontal="left" vertical="center" wrapText="1"/>
    </xf>
    <xf numFmtId="0" fontId="9" fillId="5" borderId="2" xfId="0" applyFont="1" applyFill="1" applyBorder="1" applyAlignment="1">
      <alignment horizontal="left" vertical="center"/>
    </xf>
    <xf numFmtId="0" fontId="11" fillId="5" borderId="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3" xfId="0" applyFont="1" applyFill="1" applyBorder="1" applyAlignment="1">
      <alignment horizontal="left" vertical="center" wrapText="1"/>
    </xf>
    <xf numFmtId="0" fontId="9" fillId="4" borderId="2" xfId="0" applyFont="1" applyFill="1" applyBorder="1" applyAlignment="1">
      <alignmen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9" fillId="5" borderId="3" xfId="0" applyFont="1" applyFill="1" applyBorder="1" applyAlignment="1">
      <alignment horizontal="left" vertical="center"/>
    </xf>
    <xf numFmtId="0" fontId="9" fillId="5" borderId="2" xfId="0" applyFont="1" applyFill="1" applyBorder="1" applyAlignment="1">
      <alignment horizontal="left" vertical="top"/>
    </xf>
    <xf numFmtId="0" fontId="9" fillId="0" borderId="2" xfId="0" applyFont="1" applyBorder="1" applyAlignment="1">
      <alignment horizontal="center" vertical="center" wrapText="1"/>
    </xf>
    <xf numFmtId="0" fontId="9" fillId="2" borderId="2" xfId="0" applyFont="1" applyFill="1" applyBorder="1" applyAlignment="1">
      <alignment horizontal="left" vertical="top" wrapText="1"/>
    </xf>
    <xf numFmtId="0" fontId="9" fillId="3" borderId="2" xfId="0" applyFont="1" applyFill="1" applyBorder="1" applyAlignment="1">
      <alignment horizontal="left" vertical="top" wrapText="1"/>
    </xf>
    <xf numFmtId="0" fontId="8" fillId="5" borderId="2" xfId="0" applyFont="1" applyFill="1" applyBorder="1" applyAlignment="1">
      <alignment horizontal="left" vertical="center" wrapText="1"/>
    </xf>
    <xf numFmtId="0" fontId="8" fillId="5" borderId="2" xfId="0" applyFont="1" applyFill="1" applyBorder="1" applyAlignment="1">
      <alignment horizontal="left" vertical="top" wrapText="1"/>
    </xf>
    <xf numFmtId="0" fontId="9" fillId="2" borderId="2" xfId="0" applyFont="1" applyFill="1" applyBorder="1" applyAlignment="1">
      <alignment horizontal="left" vertical="center"/>
    </xf>
    <xf numFmtId="0" fontId="9" fillId="4" borderId="2" xfId="0" applyFont="1" applyFill="1" applyBorder="1" applyAlignment="1">
      <alignment horizontal="left" vertical="center"/>
    </xf>
    <xf numFmtId="0" fontId="9" fillId="3" borderId="2" xfId="0" applyFont="1" applyFill="1" applyBorder="1" applyAlignment="1">
      <alignment horizontal="left" vertical="center" wrapText="1"/>
    </xf>
    <xf numFmtId="0" fontId="8" fillId="2" borderId="2" xfId="0" applyFont="1" applyFill="1" applyBorder="1" applyAlignment="1">
      <alignment horizontal="left" vertical="top" wrapText="1"/>
    </xf>
    <xf numFmtId="0" fontId="8" fillId="3" borderId="1" xfId="0" applyFont="1" applyFill="1" applyBorder="1" applyAlignment="1">
      <alignment horizontal="left" vertical="top" wrapText="1"/>
    </xf>
    <xf numFmtId="0" fontId="9" fillId="7" borderId="4" xfId="0" applyFont="1" applyFill="1" applyBorder="1" applyAlignment="1">
      <alignment horizontal="left" vertical="center"/>
    </xf>
    <xf numFmtId="0" fontId="9" fillId="7" borderId="3" xfId="0" applyFont="1" applyFill="1" applyBorder="1" applyAlignment="1">
      <alignment horizontal="left" vertical="center"/>
    </xf>
    <xf numFmtId="0" fontId="8" fillId="3" borderId="7" xfId="0" applyFont="1" applyFill="1" applyBorder="1" applyAlignment="1">
      <alignment horizontal="left" vertical="top" wrapText="1"/>
    </xf>
    <xf numFmtId="0" fontId="8" fillId="4" borderId="2" xfId="0" applyFont="1" applyFill="1" applyBorder="1" applyAlignment="1">
      <alignment horizontal="left" vertical="center" wrapText="1"/>
    </xf>
    <xf numFmtId="0" fontId="8" fillId="5" borderId="1" xfId="0" applyFont="1" applyFill="1" applyBorder="1" applyAlignment="1">
      <alignment horizontal="left" vertical="center" wrapText="1"/>
    </xf>
    <xf numFmtId="0" fontId="9" fillId="6" borderId="2" xfId="0" applyFont="1" applyFill="1" applyBorder="1" applyAlignment="1">
      <alignment horizontal="left" vertical="center"/>
    </xf>
    <xf numFmtId="0" fontId="8" fillId="0" borderId="7" xfId="0" applyFont="1" applyBorder="1" applyAlignment="1">
      <alignment horizontal="center" vertical="center" wrapText="1"/>
    </xf>
    <xf numFmtId="0" fontId="8" fillId="5" borderId="2" xfId="0" applyFont="1" applyFill="1" applyBorder="1" applyAlignment="1">
      <alignment vertical="top" wrapText="1"/>
    </xf>
    <xf numFmtId="0" fontId="8" fillId="4" borderId="2" xfId="0" applyFont="1" applyFill="1" applyBorder="1" applyAlignment="1">
      <alignment horizontal="left" vertical="top" wrapText="1"/>
    </xf>
    <xf numFmtId="0" fontId="8" fillId="5" borderId="1" xfId="0" applyFont="1" applyFill="1" applyBorder="1" applyAlignment="1">
      <alignment horizontal="left" vertical="top" wrapText="1"/>
    </xf>
    <xf numFmtId="0" fontId="9" fillId="7" borderId="4" xfId="0" applyFont="1" applyFill="1" applyBorder="1" applyAlignment="1">
      <alignment horizontal="left" vertical="top"/>
    </xf>
    <xf numFmtId="0" fontId="9" fillId="7" borderId="3" xfId="0" applyFont="1" applyFill="1" applyBorder="1" applyAlignment="1">
      <alignment horizontal="left" vertical="top"/>
    </xf>
    <xf numFmtId="0" fontId="9" fillId="7" borderId="5" xfId="0" applyFont="1" applyFill="1" applyBorder="1" applyAlignment="1">
      <alignment horizontal="left" vertical="top"/>
    </xf>
    <xf numFmtId="0" fontId="8" fillId="0" borderId="2" xfId="0" applyFont="1" applyBorder="1" applyAlignment="1">
      <alignment horizontal="center" vertical="center" wrapText="1"/>
    </xf>
    <xf numFmtId="0" fontId="8" fillId="6" borderId="2" xfId="0" applyFont="1" applyFill="1" applyBorder="1" applyAlignment="1">
      <alignment horizontal="left" vertical="center" wrapText="1"/>
    </xf>
    <xf numFmtId="0" fontId="9" fillId="7" borderId="2" xfId="0" applyFont="1" applyFill="1" applyBorder="1" applyAlignment="1">
      <alignment horizontal="left" vertical="top"/>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7" borderId="4" xfId="0" applyFont="1" applyFill="1" applyBorder="1" applyAlignment="1">
      <alignment vertical="top"/>
    </xf>
    <xf numFmtId="0" fontId="9" fillId="7" borderId="5" xfId="0" applyFont="1" applyFill="1" applyBorder="1" applyAlignment="1">
      <alignment vertical="top"/>
    </xf>
    <xf numFmtId="0" fontId="9" fillId="7" borderId="3" xfId="0" applyFont="1" applyFill="1" applyBorder="1" applyAlignment="1">
      <alignment vertical="top"/>
    </xf>
    <xf numFmtId="0" fontId="16" fillId="0" borderId="0" xfId="5" applyFont="1" applyAlignment="1">
      <alignment horizontal="left" vertical="center" wrapText="1"/>
    </xf>
    <xf numFmtId="0" fontId="16" fillId="0" borderId="0" xfId="5" applyFont="1" applyAlignment="1">
      <alignment horizontal="left" wrapText="1"/>
    </xf>
  </cellXfs>
  <cellStyles count="8">
    <cellStyle name="Comma" xfId="7" builtinId="3"/>
    <cellStyle name="Currency" xfId="1" builtinId="4"/>
    <cellStyle name="Currency 2" xfId="4" xr:uid="{582BAB77-BEEF-4012-B63D-689F681601A9}"/>
    <cellStyle name="Currency 2 2" xfId="6" xr:uid="{5F6C5B77-F90F-4442-A1D2-30B810A61D26}"/>
    <cellStyle name="Normal" xfId="0" builtinId="0"/>
    <cellStyle name="Normal 2" xfId="2" xr:uid="{84DB3641-C74F-475F-824D-9C316B634C38}"/>
    <cellStyle name="Normal 3" xfId="3" xr:uid="{25A14C5A-475C-4254-9FB9-A01A92E49D0F}"/>
    <cellStyle name="Normal 3 2" xfId="5" xr:uid="{EE2CCE59-D5C2-41B5-AC22-78FDF7414CE6}"/>
  </cellStyles>
  <dxfs count="3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455544</xdr:colOff>
      <xdr:row>0</xdr:row>
      <xdr:rowOff>80756</xdr:rowOff>
    </xdr:from>
    <xdr:to>
      <xdr:col>6</xdr:col>
      <xdr:colOff>84207</xdr:colOff>
      <xdr:row>12</xdr:row>
      <xdr:rowOff>4761</xdr:rowOff>
    </xdr:to>
    <xdr:pic>
      <xdr:nvPicPr>
        <xdr:cNvPr id="3" name="Picture 2">
          <a:extLst>
            <a:ext uri="{FF2B5EF4-FFF2-40B4-BE49-F238E27FC236}">
              <a16:creationId xmlns:a16="http://schemas.microsoft.com/office/drawing/2014/main" id="{FC65D338-9B66-80A2-6654-B121EB775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5718" y="80756"/>
          <a:ext cx="1749011" cy="1911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0</xdr:colOff>
      <xdr:row>0</xdr:row>
      <xdr:rowOff>0</xdr:rowOff>
    </xdr:from>
    <xdr:ext cx="1024255" cy="12700"/>
    <xdr:grpSp>
      <xdr:nvGrpSpPr>
        <xdr:cNvPr id="2" name="Group 3">
          <a:extLst>
            <a:ext uri="{FF2B5EF4-FFF2-40B4-BE49-F238E27FC236}">
              <a16:creationId xmlns:a16="http://schemas.microsoft.com/office/drawing/2014/main" id="{865C61B7-CEE2-4E8F-9EA7-A5169ABAC59B}"/>
            </a:ext>
          </a:extLst>
        </xdr:cNvPr>
        <xdr:cNvGrpSpPr/>
      </xdr:nvGrpSpPr>
      <xdr:grpSpPr>
        <a:xfrm>
          <a:off x="15378545" y="0"/>
          <a:ext cx="1024255" cy="12700"/>
          <a:chOff x="0" y="0"/>
          <a:chExt cx="1024255" cy="12700"/>
        </a:xfrm>
      </xdr:grpSpPr>
      <xdr:sp macro="" textlink="">
        <xdr:nvSpPr>
          <xdr:cNvPr id="3" name="Shape 4">
            <a:extLst>
              <a:ext uri="{FF2B5EF4-FFF2-40B4-BE49-F238E27FC236}">
                <a16:creationId xmlns:a16="http://schemas.microsoft.com/office/drawing/2014/main" id="{7B543408-6258-8852-1460-12C3F74E307B}"/>
              </a:ext>
            </a:extLst>
          </xdr:cNvPr>
          <xdr:cNvSpPr/>
        </xdr:nvSpPr>
        <xdr:spPr>
          <a:xfrm>
            <a:off x="761" y="889"/>
            <a:ext cx="1022985" cy="0"/>
          </a:xfrm>
          <a:custGeom>
            <a:avLst/>
            <a:gdLst/>
            <a:ahLst/>
            <a:cxnLst/>
            <a:rect l="0" t="0" r="0" b="0"/>
            <a:pathLst>
              <a:path w="1022985">
                <a:moveTo>
                  <a:pt x="0" y="0"/>
                </a:moveTo>
                <a:lnTo>
                  <a:pt x="1022604" y="0"/>
                </a:lnTo>
              </a:path>
            </a:pathLst>
          </a:custGeom>
          <a:ln w="3175">
            <a:solidFill>
              <a:srgbClr val="000000"/>
            </a:solidFill>
          </a:ln>
        </xdr:spPr>
      </xdr:sp>
      <xdr:sp macro="" textlink="">
        <xdr:nvSpPr>
          <xdr:cNvPr id="4" name="Shape 5">
            <a:extLst>
              <a:ext uri="{FF2B5EF4-FFF2-40B4-BE49-F238E27FC236}">
                <a16:creationId xmlns:a16="http://schemas.microsoft.com/office/drawing/2014/main" id="{14F15D4E-3B82-A4E2-BC2E-63BCE8D27224}"/>
              </a:ext>
            </a:extLst>
          </xdr:cNvPr>
          <xdr:cNvSpPr/>
        </xdr:nvSpPr>
        <xdr:spPr>
          <a:xfrm>
            <a:off x="0" y="126"/>
            <a:ext cx="1024255" cy="12700"/>
          </a:xfrm>
          <a:custGeom>
            <a:avLst/>
            <a:gdLst/>
            <a:ahLst/>
            <a:cxnLst/>
            <a:rect l="0" t="0" r="0" b="0"/>
            <a:pathLst>
              <a:path w="1024255" h="12700">
                <a:moveTo>
                  <a:pt x="1024128" y="0"/>
                </a:moveTo>
                <a:lnTo>
                  <a:pt x="0" y="0"/>
                </a:lnTo>
                <a:lnTo>
                  <a:pt x="0" y="12191"/>
                </a:lnTo>
                <a:lnTo>
                  <a:pt x="1024128" y="12191"/>
                </a:lnTo>
                <a:lnTo>
                  <a:pt x="1024128" y="0"/>
                </a:lnTo>
                <a:close/>
              </a:path>
            </a:pathLst>
          </a:custGeom>
          <a:solidFill>
            <a:srgbClr val="000000"/>
          </a:solidFill>
        </xdr:spPr>
      </xdr:sp>
    </xdr:grpSp>
    <xdr:clientData/>
  </xdr:oneCellAnchor>
  <xdr:oneCellAnchor>
    <xdr:from>
      <xdr:col>15</xdr:col>
      <xdr:colOff>0</xdr:colOff>
      <xdr:row>0</xdr:row>
      <xdr:rowOff>0</xdr:rowOff>
    </xdr:from>
    <xdr:ext cx="1024255" cy="12700"/>
    <xdr:grpSp>
      <xdr:nvGrpSpPr>
        <xdr:cNvPr id="5" name="Group 6">
          <a:extLst>
            <a:ext uri="{FF2B5EF4-FFF2-40B4-BE49-F238E27FC236}">
              <a16:creationId xmlns:a16="http://schemas.microsoft.com/office/drawing/2014/main" id="{71F85495-BFE4-47BD-955A-F4B579779A23}"/>
            </a:ext>
          </a:extLst>
        </xdr:cNvPr>
        <xdr:cNvGrpSpPr/>
      </xdr:nvGrpSpPr>
      <xdr:grpSpPr>
        <a:xfrm>
          <a:off x="15378545" y="0"/>
          <a:ext cx="1024255" cy="12700"/>
          <a:chOff x="0" y="0"/>
          <a:chExt cx="1024255" cy="12700"/>
        </a:xfrm>
      </xdr:grpSpPr>
      <xdr:sp macro="" textlink="">
        <xdr:nvSpPr>
          <xdr:cNvPr id="6" name="Shape 7">
            <a:extLst>
              <a:ext uri="{FF2B5EF4-FFF2-40B4-BE49-F238E27FC236}">
                <a16:creationId xmlns:a16="http://schemas.microsoft.com/office/drawing/2014/main" id="{BEBAD5ED-F550-7171-2745-982670582689}"/>
              </a:ext>
            </a:extLst>
          </xdr:cNvPr>
          <xdr:cNvSpPr/>
        </xdr:nvSpPr>
        <xdr:spPr>
          <a:xfrm>
            <a:off x="761" y="889"/>
            <a:ext cx="1022985" cy="0"/>
          </a:xfrm>
          <a:custGeom>
            <a:avLst/>
            <a:gdLst/>
            <a:ahLst/>
            <a:cxnLst/>
            <a:rect l="0" t="0" r="0" b="0"/>
            <a:pathLst>
              <a:path w="1022985">
                <a:moveTo>
                  <a:pt x="0" y="0"/>
                </a:moveTo>
                <a:lnTo>
                  <a:pt x="1022604" y="0"/>
                </a:lnTo>
              </a:path>
            </a:pathLst>
          </a:custGeom>
          <a:ln w="3175">
            <a:solidFill>
              <a:srgbClr val="000000"/>
            </a:solidFill>
          </a:ln>
        </xdr:spPr>
      </xdr:sp>
      <xdr:sp macro="" textlink="">
        <xdr:nvSpPr>
          <xdr:cNvPr id="7" name="Shape 8">
            <a:extLst>
              <a:ext uri="{FF2B5EF4-FFF2-40B4-BE49-F238E27FC236}">
                <a16:creationId xmlns:a16="http://schemas.microsoft.com/office/drawing/2014/main" id="{2245E0B6-7582-667A-FC95-A1473327868C}"/>
              </a:ext>
            </a:extLst>
          </xdr:cNvPr>
          <xdr:cNvSpPr/>
        </xdr:nvSpPr>
        <xdr:spPr>
          <a:xfrm>
            <a:off x="0" y="126"/>
            <a:ext cx="1024255" cy="12700"/>
          </a:xfrm>
          <a:custGeom>
            <a:avLst/>
            <a:gdLst/>
            <a:ahLst/>
            <a:cxnLst/>
            <a:rect l="0" t="0" r="0" b="0"/>
            <a:pathLst>
              <a:path w="1024255" h="12700">
                <a:moveTo>
                  <a:pt x="1024128" y="0"/>
                </a:moveTo>
                <a:lnTo>
                  <a:pt x="0" y="0"/>
                </a:lnTo>
                <a:lnTo>
                  <a:pt x="0" y="12191"/>
                </a:lnTo>
                <a:lnTo>
                  <a:pt x="1024128" y="12191"/>
                </a:lnTo>
                <a:lnTo>
                  <a:pt x="1024128" y="0"/>
                </a:lnTo>
                <a:close/>
              </a:path>
            </a:pathLst>
          </a:custGeom>
          <a:solidFill>
            <a:srgbClr val="000000"/>
          </a:solidFill>
        </xdr:spPr>
      </xdr:sp>
    </xdr:grpSp>
    <xdr:clientData/>
  </xdr:oneCellAnchor>
  <xdr:oneCellAnchor>
    <xdr:from>
      <xdr:col>15</xdr:col>
      <xdr:colOff>0</xdr:colOff>
      <xdr:row>0</xdr:row>
      <xdr:rowOff>0</xdr:rowOff>
    </xdr:from>
    <xdr:ext cx="1143000" cy="10795"/>
    <xdr:sp macro="" textlink="">
      <xdr:nvSpPr>
        <xdr:cNvPr id="15" name="Shape 16">
          <a:extLst>
            <a:ext uri="{FF2B5EF4-FFF2-40B4-BE49-F238E27FC236}">
              <a16:creationId xmlns:a16="http://schemas.microsoft.com/office/drawing/2014/main" id="{3199FC1B-B2C1-478B-8ECB-F4A2987AE778}"/>
            </a:ext>
          </a:extLst>
        </xdr:cNvPr>
        <xdr:cNvSpPr/>
      </xdr:nvSpPr>
      <xdr:spPr>
        <a:xfrm>
          <a:off x="37879990" y="0"/>
          <a:ext cx="1143000" cy="10795"/>
        </a:xfrm>
        <a:custGeom>
          <a:avLst/>
          <a:gdLst/>
          <a:ahLst/>
          <a:cxnLst/>
          <a:rect l="0" t="0" r="0" b="0"/>
          <a:pathLst>
            <a:path w="1143000" h="10795">
              <a:moveTo>
                <a:pt x="1143000" y="0"/>
              </a:moveTo>
              <a:lnTo>
                <a:pt x="0" y="0"/>
              </a:lnTo>
              <a:lnTo>
                <a:pt x="0" y="10579"/>
              </a:lnTo>
              <a:lnTo>
                <a:pt x="1143000" y="10579"/>
              </a:lnTo>
              <a:lnTo>
                <a:pt x="1143000" y="0"/>
              </a:lnTo>
              <a:close/>
            </a:path>
          </a:pathLst>
        </a:custGeom>
        <a:solidFill>
          <a:srgbClr val="000000"/>
        </a:solidFill>
      </xdr:spPr>
    </xdr:sp>
    <xdr:clientData/>
  </xdr:oneCellAnchor>
  <xdr:oneCellAnchor>
    <xdr:from>
      <xdr:col>15</xdr:col>
      <xdr:colOff>0</xdr:colOff>
      <xdr:row>0</xdr:row>
      <xdr:rowOff>0</xdr:rowOff>
    </xdr:from>
    <xdr:ext cx="1095375" cy="10795"/>
    <xdr:sp macro="" textlink="">
      <xdr:nvSpPr>
        <xdr:cNvPr id="17" name="Shape 18">
          <a:extLst>
            <a:ext uri="{FF2B5EF4-FFF2-40B4-BE49-F238E27FC236}">
              <a16:creationId xmlns:a16="http://schemas.microsoft.com/office/drawing/2014/main" id="{77435612-28DF-4BAB-B714-4562B81E77A0}"/>
            </a:ext>
          </a:extLst>
        </xdr:cNvPr>
        <xdr:cNvSpPr/>
      </xdr:nvSpPr>
      <xdr:spPr>
        <a:xfrm>
          <a:off x="23477625"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31" name="Shape 35">
          <a:extLst>
            <a:ext uri="{FF2B5EF4-FFF2-40B4-BE49-F238E27FC236}">
              <a16:creationId xmlns:a16="http://schemas.microsoft.com/office/drawing/2014/main" id="{011B48C8-7F2C-434B-889C-ED71D45681B2}"/>
            </a:ext>
          </a:extLst>
        </xdr:cNvPr>
        <xdr:cNvSpPr/>
      </xdr:nvSpPr>
      <xdr:spPr>
        <a:xfrm>
          <a:off x="30459578"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32" name="Shape 36">
          <a:extLst>
            <a:ext uri="{FF2B5EF4-FFF2-40B4-BE49-F238E27FC236}">
              <a16:creationId xmlns:a16="http://schemas.microsoft.com/office/drawing/2014/main" id="{262B88A6-158F-4EAB-803F-C99CCABE26B8}"/>
            </a:ext>
          </a:extLst>
        </xdr:cNvPr>
        <xdr:cNvSpPr/>
      </xdr:nvSpPr>
      <xdr:spPr>
        <a:xfrm>
          <a:off x="36920068"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019" cy="10795"/>
    <xdr:sp macro="" textlink="">
      <xdr:nvSpPr>
        <xdr:cNvPr id="33" name="Shape 37">
          <a:extLst>
            <a:ext uri="{FF2B5EF4-FFF2-40B4-BE49-F238E27FC236}">
              <a16:creationId xmlns:a16="http://schemas.microsoft.com/office/drawing/2014/main" id="{1488B82F-D5A7-4677-B77E-47E5D5794C88}"/>
            </a:ext>
          </a:extLst>
        </xdr:cNvPr>
        <xdr:cNvSpPr/>
      </xdr:nvSpPr>
      <xdr:spPr>
        <a:xfrm>
          <a:off x="44320485"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34" name="Shape 38">
          <a:extLst>
            <a:ext uri="{FF2B5EF4-FFF2-40B4-BE49-F238E27FC236}">
              <a16:creationId xmlns:a16="http://schemas.microsoft.com/office/drawing/2014/main" id="{9B31323C-C68C-4EFA-88FF-5B3AA0CA810F}"/>
            </a:ext>
          </a:extLst>
        </xdr:cNvPr>
        <xdr:cNvSpPr/>
      </xdr:nvSpPr>
      <xdr:spPr>
        <a:xfrm>
          <a:off x="51314121"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35" name="Shape 39">
          <a:extLst>
            <a:ext uri="{FF2B5EF4-FFF2-40B4-BE49-F238E27FC236}">
              <a16:creationId xmlns:a16="http://schemas.microsoft.com/office/drawing/2014/main" id="{669103AE-0A00-401C-A102-D356964A68AB}"/>
            </a:ext>
          </a:extLst>
        </xdr:cNvPr>
        <xdr:cNvSpPr/>
      </xdr:nvSpPr>
      <xdr:spPr>
        <a:xfrm>
          <a:off x="30408498"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36" name="Shape 40">
          <a:extLst>
            <a:ext uri="{FF2B5EF4-FFF2-40B4-BE49-F238E27FC236}">
              <a16:creationId xmlns:a16="http://schemas.microsoft.com/office/drawing/2014/main" id="{186B1A56-3FDA-49B1-AC73-66BDC8063E9F}"/>
            </a:ext>
          </a:extLst>
        </xdr:cNvPr>
        <xdr:cNvSpPr/>
      </xdr:nvSpPr>
      <xdr:spPr>
        <a:xfrm>
          <a:off x="36868989"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019" cy="10795"/>
    <xdr:sp macro="" textlink="">
      <xdr:nvSpPr>
        <xdr:cNvPr id="37" name="Shape 41">
          <a:extLst>
            <a:ext uri="{FF2B5EF4-FFF2-40B4-BE49-F238E27FC236}">
              <a16:creationId xmlns:a16="http://schemas.microsoft.com/office/drawing/2014/main" id="{039D7D24-D54E-46B4-B43A-99770FD05721}"/>
            </a:ext>
          </a:extLst>
        </xdr:cNvPr>
        <xdr:cNvSpPr/>
      </xdr:nvSpPr>
      <xdr:spPr>
        <a:xfrm>
          <a:off x="43799506"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38" name="Shape 42">
          <a:extLst>
            <a:ext uri="{FF2B5EF4-FFF2-40B4-BE49-F238E27FC236}">
              <a16:creationId xmlns:a16="http://schemas.microsoft.com/office/drawing/2014/main" id="{919DF904-0FB2-40CB-BB42-5417CE3A2046}"/>
            </a:ext>
          </a:extLst>
        </xdr:cNvPr>
        <xdr:cNvSpPr/>
      </xdr:nvSpPr>
      <xdr:spPr>
        <a:xfrm>
          <a:off x="51263041"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39" name="Shape 43">
          <a:extLst>
            <a:ext uri="{FF2B5EF4-FFF2-40B4-BE49-F238E27FC236}">
              <a16:creationId xmlns:a16="http://schemas.microsoft.com/office/drawing/2014/main" id="{5FB72F19-404C-41D9-A8F4-57C285126615}"/>
            </a:ext>
          </a:extLst>
        </xdr:cNvPr>
        <xdr:cNvSpPr/>
      </xdr:nvSpPr>
      <xdr:spPr>
        <a:xfrm>
          <a:off x="30940334"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40" name="Shape 44">
          <a:extLst>
            <a:ext uri="{FF2B5EF4-FFF2-40B4-BE49-F238E27FC236}">
              <a16:creationId xmlns:a16="http://schemas.microsoft.com/office/drawing/2014/main" id="{3B06B362-6891-4C5A-BD57-8CF1D2D6D5ED}"/>
            </a:ext>
          </a:extLst>
        </xdr:cNvPr>
        <xdr:cNvSpPr/>
      </xdr:nvSpPr>
      <xdr:spPr>
        <a:xfrm>
          <a:off x="36930924"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019" cy="10795"/>
    <xdr:sp macro="" textlink="">
      <xdr:nvSpPr>
        <xdr:cNvPr id="41" name="Shape 45">
          <a:extLst>
            <a:ext uri="{FF2B5EF4-FFF2-40B4-BE49-F238E27FC236}">
              <a16:creationId xmlns:a16="http://schemas.microsoft.com/office/drawing/2014/main" id="{44432DB4-2154-4331-A989-D9E1D65A02FC}"/>
            </a:ext>
          </a:extLst>
        </xdr:cNvPr>
        <xdr:cNvSpPr/>
      </xdr:nvSpPr>
      <xdr:spPr>
        <a:xfrm>
          <a:off x="44303567"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42" name="Shape 46">
          <a:extLst>
            <a:ext uri="{FF2B5EF4-FFF2-40B4-BE49-F238E27FC236}">
              <a16:creationId xmlns:a16="http://schemas.microsoft.com/office/drawing/2014/main" id="{BCD4CF77-4E69-4F27-AFD0-66C3CE076E2A}"/>
            </a:ext>
          </a:extLst>
        </xdr:cNvPr>
        <xdr:cNvSpPr/>
      </xdr:nvSpPr>
      <xdr:spPr>
        <a:xfrm>
          <a:off x="51296316"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43" name="Shape 47">
          <a:extLst>
            <a:ext uri="{FF2B5EF4-FFF2-40B4-BE49-F238E27FC236}">
              <a16:creationId xmlns:a16="http://schemas.microsoft.com/office/drawing/2014/main" id="{EB2F8D2B-4C39-4E01-B372-76505207755B}"/>
            </a:ext>
          </a:extLst>
        </xdr:cNvPr>
        <xdr:cNvSpPr/>
      </xdr:nvSpPr>
      <xdr:spPr>
        <a:xfrm>
          <a:off x="30941352"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44" name="Shape 48">
          <a:extLst>
            <a:ext uri="{FF2B5EF4-FFF2-40B4-BE49-F238E27FC236}">
              <a16:creationId xmlns:a16="http://schemas.microsoft.com/office/drawing/2014/main" id="{90C81759-01E3-4CB6-BE4B-C898FB6D2F30}"/>
            </a:ext>
          </a:extLst>
        </xdr:cNvPr>
        <xdr:cNvSpPr/>
      </xdr:nvSpPr>
      <xdr:spPr>
        <a:xfrm>
          <a:off x="37338343"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019" cy="10795"/>
    <xdr:sp macro="" textlink="">
      <xdr:nvSpPr>
        <xdr:cNvPr id="45" name="Shape 49">
          <a:extLst>
            <a:ext uri="{FF2B5EF4-FFF2-40B4-BE49-F238E27FC236}">
              <a16:creationId xmlns:a16="http://schemas.microsoft.com/office/drawing/2014/main" id="{54515D8A-CF50-4B44-BE61-757BB105FA48}"/>
            </a:ext>
          </a:extLst>
        </xdr:cNvPr>
        <xdr:cNvSpPr/>
      </xdr:nvSpPr>
      <xdr:spPr>
        <a:xfrm>
          <a:off x="44332359"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46" name="Shape 50">
          <a:extLst>
            <a:ext uri="{FF2B5EF4-FFF2-40B4-BE49-F238E27FC236}">
              <a16:creationId xmlns:a16="http://schemas.microsoft.com/office/drawing/2014/main" id="{FD27A441-95DB-4D8E-BEC9-665E23BF64E9}"/>
            </a:ext>
          </a:extLst>
        </xdr:cNvPr>
        <xdr:cNvSpPr/>
      </xdr:nvSpPr>
      <xdr:spPr>
        <a:xfrm>
          <a:off x="5132599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47" name="Shape 51">
          <a:extLst>
            <a:ext uri="{FF2B5EF4-FFF2-40B4-BE49-F238E27FC236}">
              <a16:creationId xmlns:a16="http://schemas.microsoft.com/office/drawing/2014/main" id="{ABAC35D1-EADC-43AE-A948-5B71ED3919ED}"/>
            </a:ext>
          </a:extLst>
        </xdr:cNvPr>
        <xdr:cNvSpPr/>
      </xdr:nvSpPr>
      <xdr:spPr>
        <a:xfrm>
          <a:off x="309372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48" name="Shape 52">
          <a:extLst>
            <a:ext uri="{FF2B5EF4-FFF2-40B4-BE49-F238E27FC236}">
              <a16:creationId xmlns:a16="http://schemas.microsoft.com/office/drawing/2014/main" id="{AC8180BA-90E5-4A76-907F-FC20A2CFD995}"/>
            </a:ext>
          </a:extLst>
        </xdr:cNvPr>
        <xdr:cNvSpPr/>
      </xdr:nvSpPr>
      <xdr:spPr>
        <a:xfrm>
          <a:off x="373380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019" cy="10795"/>
    <xdr:sp macro="" textlink="">
      <xdr:nvSpPr>
        <xdr:cNvPr id="49" name="Shape 53">
          <a:extLst>
            <a:ext uri="{FF2B5EF4-FFF2-40B4-BE49-F238E27FC236}">
              <a16:creationId xmlns:a16="http://schemas.microsoft.com/office/drawing/2014/main" id="{7FCC2FAB-7621-4A63-9D05-744D4860AF61}"/>
            </a:ext>
          </a:extLst>
        </xdr:cNvPr>
        <xdr:cNvSpPr/>
      </xdr:nvSpPr>
      <xdr:spPr>
        <a:xfrm>
          <a:off x="44272200"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50" name="Shape 54">
          <a:extLst>
            <a:ext uri="{FF2B5EF4-FFF2-40B4-BE49-F238E27FC236}">
              <a16:creationId xmlns:a16="http://schemas.microsoft.com/office/drawing/2014/main" id="{07D2830B-2798-4BA1-B78B-27CC616EC0E2}"/>
            </a:ext>
          </a:extLst>
        </xdr:cNvPr>
        <xdr:cNvSpPr/>
      </xdr:nvSpPr>
      <xdr:spPr>
        <a:xfrm>
          <a:off x="517398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51" name="Shape 55">
          <a:extLst>
            <a:ext uri="{FF2B5EF4-FFF2-40B4-BE49-F238E27FC236}">
              <a16:creationId xmlns:a16="http://schemas.microsoft.com/office/drawing/2014/main" id="{ACF97C4D-6D10-4B1E-872E-0DA05ACD2C61}"/>
            </a:ext>
          </a:extLst>
        </xdr:cNvPr>
        <xdr:cNvSpPr/>
      </xdr:nvSpPr>
      <xdr:spPr>
        <a:xfrm>
          <a:off x="30954853"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52" name="Shape 56">
          <a:extLst>
            <a:ext uri="{FF2B5EF4-FFF2-40B4-BE49-F238E27FC236}">
              <a16:creationId xmlns:a16="http://schemas.microsoft.com/office/drawing/2014/main" id="{406DEBCA-5A36-4A43-B670-F784EBA76258}"/>
            </a:ext>
          </a:extLst>
        </xdr:cNvPr>
        <xdr:cNvSpPr/>
      </xdr:nvSpPr>
      <xdr:spPr>
        <a:xfrm>
          <a:off x="37351842"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019" cy="10795"/>
    <xdr:sp macro="" textlink="">
      <xdr:nvSpPr>
        <xdr:cNvPr id="53" name="Shape 57">
          <a:extLst>
            <a:ext uri="{FF2B5EF4-FFF2-40B4-BE49-F238E27FC236}">
              <a16:creationId xmlns:a16="http://schemas.microsoft.com/office/drawing/2014/main" id="{C7B35C52-F8A5-4FB5-A9E5-5080B6800576}"/>
            </a:ext>
          </a:extLst>
        </xdr:cNvPr>
        <xdr:cNvSpPr/>
      </xdr:nvSpPr>
      <xdr:spPr>
        <a:xfrm>
          <a:off x="44815759"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54" name="Shape 58">
          <a:extLst>
            <a:ext uri="{FF2B5EF4-FFF2-40B4-BE49-F238E27FC236}">
              <a16:creationId xmlns:a16="http://schemas.microsoft.com/office/drawing/2014/main" id="{88E6F4F8-5640-4A12-B96F-8A5DE2BACA19}"/>
            </a:ext>
          </a:extLst>
        </xdr:cNvPr>
        <xdr:cNvSpPr/>
      </xdr:nvSpPr>
      <xdr:spPr>
        <a:xfrm>
          <a:off x="5174589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55" name="Shape 59">
          <a:extLst>
            <a:ext uri="{FF2B5EF4-FFF2-40B4-BE49-F238E27FC236}">
              <a16:creationId xmlns:a16="http://schemas.microsoft.com/office/drawing/2014/main" id="{D7539A3B-DEE8-45F6-B58C-0BFDA1A3BEBA}"/>
            </a:ext>
          </a:extLst>
        </xdr:cNvPr>
        <xdr:cNvSpPr/>
      </xdr:nvSpPr>
      <xdr:spPr>
        <a:xfrm>
          <a:off x="309372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56" name="Shape 60">
          <a:extLst>
            <a:ext uri="{FF2B5EF4-FFF2-40B4-BE49-F238E27FC236}">
              <a16:creationId xmlns:a16="http://schemas.microsoft.com/office/drawing/2014/main" id="{2B341E65-9EB6-4BD6-B2FA-F005568238F6}"/>
            </a:ext>
          </a:extLst>
        </xdr:cNvPr>
        <xdr:cNvSpPr/>
      </xdr:nvSpPr>
      <xdr:spPr>
        <a:xfrm>
          <a:off x="373380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019" cy="10795"/>
    <xdr:sp macro="" textlink="">
      <xdr:nvSpPr>
        <xdr:cNvPr id="57" name="Shape 61">
          <a:extLst>
            <a:ext uri="{FF2B5EF4-FFF2-40B4-BE49-F238E27FC236}">
              <a16:creationId xmlns:a16="http://schemas.microsoft.com/office/drawing/2014/main" id="{CBE10570-02E7-4D75-9443-476310149813}"/>
            </a:ext>
          </a:extLst>
        </xdr:cNvPr>
        <xdr:cNvSpPr/>
      </xdr:nvSpPr>
      <xdr:spPr>
        <a:xfrm>
          <a:off x="44272200"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58" name="Shape 62">
          <a:extLst>
            <a:ext uri="{FF2B5EF4-FFF2-40B4-BE49-F238E27FC236}">
              <a16:creationId xmlns:a16="http://schemas.microsoft.com/office/drawing/2014/main" id="{76AA9E85-BCCC-4A37-B895-57B85610E68E}"/>
            </a:ext>
          </a:extLst>
        </xdr:cNvPr>
        <xdr:cNvSpPr/>
      </xdr:nvSpPr>
      <xdr:spPr>
        <a:xfrm>
          <a:off x="51739800"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59" name="Shape 63">
          <a:extLst>
            <a:ext uri="{FF2B5EF4-FFF2-40B4-BE49-F238E27FC236}">
              <a16:creationId xmlns:a16="http://schemas.microsoft.com/office/drawing/2014/main" id="{9C01ABD9-1704-4725-B35B-9A51CAFB71B6}"/>
            </a:ext>
          </a:extLst>
        </xdr:cNvPr>
        <xdr:cNvSpPr/>
      </xdr:nvSpPr>
      <xdr:spPr>
        <a:xfrm>
          <a:off x="3046003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60" name="Shape 64">
          <a:extLst>
            <a:ext uri="{FF2B5EF4-FFF2-40B4-BE49-F238E27FC236}">
              <a16:creationId xmlns:a16="http://schemas.microsoft.com/office/drawing/2014/main" id="{A5AD60ED-8076-48D1-9BD8-B238675B5CEE}"/>
            </a:ext>
          </a:extLst>
        </xdr:cNvPr>
        <xdr:cNvSpPr/>
      </xdr:nvSpPr>
      <xdr:spPr>
        <a:xfrm>
          <a:off x="36920525"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oneCellAnchor>
    <xdr:from>
      <xdr:col>15</xdr:col>
      <xdr:colOff>0</xdr:colOff>
      <xdr:row>0</xdr:row>
      <xdr:rowOff>0</xdr:rowOff>
    </xdr:from>
    <xdr:ext cx="922019" cy="10795"/>
    <xdr:sp macro="" textlink="">
      <xdr:nvSpPr>
        <xdr:cNvPr id="61" name="Shape 65">
          <a:extLst>
            <a:ext uri="{FF2B5EF4-FFF2-40B4-BE49-F238E27FC236}">
              <a16:creationId xmlns:a16="http://schemas.microsoft.com/office/drawing/2014/main" id="{1FAEA2F1-2E9A-4D18-980D-FBEBCF307879}"/>
            </a:ext>
          </a:extLst>
        </xdr:cNvPr>
        <xdr:cNvSpPr/>
      </xdr:nvSpPr>
      <xdr:spPr>
        <a:xfrm>
          <a:off x="44320942" y="0"/>
          <a:ext cx="922019" cy="10795"/>
        </a:xfrm>
        <a:custGeom>
          <a:avLst/>
          <a:gdLst/>
          <a:ahLst/>
          <a:cxnLst/>
          <a:rect l="0" t="0" r="0" b="0"/>
          <a:pathLst>
            <a:path w="922019" h="10795">
              <a:moveTo>
                <a:pt x="922020" y="0"/>
              </a:moveTo>
              <a:lnTo>
                <a:pt x="0" y="0"/>
              </a:lnTo>
              <a:lnTo>
                <a:pt x="0" y="10667"/>
              </a:lnTo>
              <a:lnTo>
                <a:pt x="922020" y="10667"/>
              </a:lnTo>
              <a:lnTo>
                <a:pt x="922020" y="0"/>
              </a:lnTo>
              <a:close/>
            </a:path>
          </a:pathLst>
        </a:custGeom>
        <a:solidFill>
          <a:srgbClr val="000000"/>
        </a:solidFill>
      </xdr:spPr>
    </xdr:sp>
    <xdr:clientData/>
  </xdr:oneCellAnchor>
  <xdr:oneCellAnchor>
    <xdr:from>
      <xdr:col>15</xdr:col>
      <xdr:colOff>0</xdr:colOff>
      <xdr:row>0</xdr:row>
      <xdr:rowOff>0</xdr:rowOff>
    </xdr:from>
    <xdr:ext cx="922655" cy="10795"/>
    <xdr:sp macro="" textlink="">
      <xdr:nvSpPr>
        <xdr:cNvPr id="62" name="Shape 66">
          <a:extLst>
            <a:ext uri="{FF2B5EF4-FFF2-40B4-BE49-F238E27FC236}">
              <a16:creationId xmlns:a16="http://schemas.microsoft.com/office/drawing/2014/main" id="{2D9126A6-6DC8-4025-B6B2-C0A05B7F0531}"/>
            </a:ext>
          </a:extLst>
        </xdr:cNvPr>
        <xdr:cNvSpPr/>
      </xdr:nvSpPr>
      <xdr:spPr>
        <a:xfrm>
          <a:off x="51314578" y="0"/>
          <a:ext cx="922655" cy="10795"/>
        </a:xfrm>
        <a:custGeom>
          <a:avLst/>
          <a:gdLst/>
          <a:ahLst/>
          <a:cxnLst/>
          <a:rect l="0" t="0" r="0" b="0"/>
          <a:pathLst>
            <a:path w="922655" h="10795">
              <a:moveTo>
                <a:pt x="922324" y="0"/>
              </a:moveTo>
              <a:lnTo>
                <a:pt x="0" y="0"/>
              </a:lnTo>
              <a:lnTo>
                <a:pt x="0" y="10667"/>
              </a:lnTo>
              <a:lnTo>
                <a:pt x="922324" y="10667"/>
              </a:lnTo>
              <a:lnTo>
                <a:pt x="922324" y="0"/>
              </a:lnTo>
              <a:close/>
            </a:path>
          </a:pathLst>
        </a:custGeom>
        <a:solidFill>
          <a:srgbClr val="000000"/>
        </a:solidFill>
      </xdr:spPr>
    </xdr:sp>
    <xdr:clientData/>
  </xdr:oneCellAnchor>
  <xdr:absoluteAnchor>
    <xdr:pos x="897127" y="1516357179"/>
    <xdr:ext cx="10768965" cy="11430"/>
    <xdr:grpSp>
      <xdr:nvGrpSpPr>
        <xdr:cNvPr id="182" name="Group 772">
          <a:extLst>
            <a:ext uri="{FF2B5EF4-FFF2-40B4-BE49-F238E27FC236}">
              <a16:creationId xmlns:a16="http://schemas.microsoft.com/office/drawing/2014/main" id="{2B95FA2C-84C3-42F8-AB19-73FA75F05AEC}"/>
            </a:ext>
          </a:extLst>
        </xdr:cNvPr>
        <xdr:cNvGrpSpPr/>
      </xdr:nvGrpSpPr>
      <xdr:grpSpPr>
        <a:xfrm>
          <a:off x="897127" y="1516357179"/>
          <a:ext cx="10768965" cy="11430"/>
          <a:chOff x="0" y="0"/>
          <a:chExt cx="10768965" cy="11430"/>
        </a:xfrm>
      </xdr:grpSpPr>
      <xdr:sp macro="" textlink="">
        <xdr:nvSpPr>
          <xdr:cNvPr id="183" name="Shape 773">
            <a:extLst>
              <a:ext uri="{FF2B5EF4-FFF2-40B4-BE49-F238E27FC236}">
                <a16:creationId xmlns:a16="http://schemas.microsoft.com/office/drawing/2014/main" id="{BB0BEE37-9AA6-7EC1-2DB5-6DFE852A9286}"/>
              </a:ext>
            </a:extLst>
          </xdr:cNvPr>
          <xdr:cNvSpPr/>
        </xdr:nvSpPr>
        <xdr:spPr>
          <a:xfrm>
            <a:off x="952" y="1015"/>
            <a:ext cx="10767060" cy="0"/>
          </a:xfrm>
          <a:custGeom>
            <a:avLst/>
            <a:gdLst/>
            <a:ahLst/>
            <a:cxnLst/>
            <a:rect l="0" t="0" r="0" b="0"/>
            <a:pathLst>
              <a:path w="10767060">
                <a:moveTo>
                  <a:pt x="0" y="0"/>
                </a:moveTo>
                <a:lnTo>
                  <a:pt x="10766742" y="0"/>
                </a:lnTo>
              </a:path>
            </a:pathLst>
          </a:custGeom>
          <a:ln w="3175">
            <a:solidFill>
              <a:srgbClr val="000000"/>
            </a:solidFill>
          </a:ln>
        </xdr:spPr>
      </xdr:sp>
      <xdr:sp macro="" textlink="">
        <xdr:nvSpPr>
          <xdr:cNvPr id="184" name="Shape 774">
            <a:extLst>
              <a:ext uri="{FF2B5EF4-FFF2-40B4-BE49-F238E27FC236}">
                <a16:creationId xmlns:a16="http://schemas.microsoft.com/office/drawing/2014/main" id="{F79305D8-5ECA-A20B-0DDC-611F15192E57}"/>
              </a:ext>
            </a:extLst>
          </xdr:cNvPr>
          <xdr:cNvSpPr/>
        </xdr:nvSpPr>
        <xdr:spPr>
          <a:xfrm>
            <a:off x="0" y="0"/>
            <a:ext cx="10768965" cy="11430"/>
          </a:xfrm>
          <a:custGeom>
            <a:avLst/>
            <a:gdLst/>
            <a:ahLst/>
            <a:cxnLst/>
            <a:rect l="0" t="0" r="0" b="0"/>
            <a:pathLst>
              <a:path w="10768965" h="11430">
                <a:moveTo>
                  <a:pt x="10768584" y="0"/>
                </a:moveTo>
                <a:lnTo>
                  <a:pt x="0" y="0"/>
                </a:lnTo>
                <a:lnTo>
                  <a:pt x="0" y="11429"/>
                </a:lnTo>
                <a:lnTo>
                  <a:pt x="10768584" y="11429"/>
                </a:lnTo>
                <a:lnTo>
                  <a:pt x="10768584" y="0"/>
                </a:lnTo>
                <a:close/>
              </a:path>
            </a:pathLst>
          </a:custGeom>
          <a:solidFill>
            <a:srgbClr val="000000"/>
          </a:solidFill>
        </xdr:spPr>
      </xdr:sp>
    </xdr:grpSp>
    <xdr:clientData/>
  </xdr:absoluteAnchor>
</xdr:wsDr>
</file>

<file path=xl/drawings/drawing3.xml><?xml version="1.0" encoding="utf-8"?>
<xdr:wsDr xmlns:xdr="http://schemas.openxmlformats.org/drawingml/2006/spreadsheetDrawing" xmlns:a="http://schemas.openxmlformats.org/drawingml/2006/main">
  <xdr:oneCellAnchor>
    <xdr:from>
      <xdr:col>8</xdr:col>
      <xdr:colOff>0</xdr:colOff>
      <xdr:row>0</xdr:row>
      <xdr:rowOff>0</xdr:rowOff>
    </xdr:from>
    <xdr:ext cx="1095375" cy="10795"/>
    <xdr:sp macro="" textlink="">
      <xdr:nvSpPr>
        <xdr:cNvPr id="9" name="Shape 17">
          <a:extLst>
            <a:ext uri="{FF2B5EF4-FFF2-40B4-BE49-F238E27FC236}">
              <a16:creationId xmlns:a16="http://schemas.microsoft.com/office/drawing/2014/main" id="{23A2C8CB-2D40-4131-BBED-FBF3C67C13D6}"/>
            </a:ext>
          </a:extLst>
        </xdr:cNvPr>
        <xdr:cNvSpPr/>
      </xdr:nvSpPr>
      <xdr:spPr>
        <a:xfrm>
          <a:off x="2759486"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8</xdr:col>
      <xdr:colOff>0</xdr:colOff>
      <xdr:row>0</xdr:row>
      <xdr:rowOff>0</xdr:rowOff>
    </xdr:from>
    <xdr:ext cx="1095375" cy="10795"/>
    <xdr:sp macro="" textlink="">
      <xdr:nvSpPr>
        <xdr:cNvPr id="50" name="Shape 17">
          <a:extLst>
            <a:ext uri="{FF2B5EF4-FFF2-40B4-BE49-F238E27FC236}">
              <a16:creationId xmlns:a16="http://schemas.microsoft.com/office/drawing/2014/main" id="{610E71A2-89B1-4435-A02F-5EB4C29869E8}"/>
            </a:ext>
          </a:extLst>
        </xdr:cNvPr>
        <xdr:cNvSpPr/>
      </xdr:nvSpPr>
      <xdr:spPr>
        <a:xfrm>
          <a:off x="3292886"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8</xdr:col>
      <xdr:colOff>0</xdr:colOff>
      <xdr:row>0</xdr:row>
      <xdr:rowOff>0</xdr:rowOff>
    </xdr:from>
    <xdr:ext cx="1095375" cy="10795"/>
    <xdr:sp macro="" textlink="">
      <xdr:nvSpPr>
        <xdr:cNvPr id="77" name="Shape 17">
          <a:extLst>
            <a:ext uri="{FF2B5EF4-FFF2-40B4-BE49-F238E27FC236}">
              <a16:creationId xmlns:a16="http://schemas.microsoft.com/office/drawing/2014/main" id="{CF6A22DF-62CC-4944-BEC9-D743860835CC}"/>
            </a:ext>
          </a:extLst>
        </xdr:cNvPr>
        <xdr:cNvSpPr/>
      </xdr:nvSpPr>
      <xdr:spPr>
        <a:xfrm>
          <a:off x="2759486"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8</xdr:col>
      <xdr:colOff>0</xdr:colOff>
      <xdr:row>0</xdr:row>
      <xdr:rowOff>0</xdr:rowOff>
    </xdr:from>
    <xdr:ext cx="1095375" cy="10795"/>
    <xdr:sp macro="" textlink="">
      <xdr:nvSpPr>
        <xdr:cNvPr id="118" name="Shape 17">
          <a:extLst>
            <a:ext uri="{FF2B5EF4-FFF2-40B4-BE49-F238E27FC236}">
              <a16:creationId xmlns:a16="http://schemas.microsoft.com/office/drawing/2014/main" id="{4EA7AB87-1231-4ADE-8429-EF42FB71D6FB}"/>
            </a:ext>
          </a:extLst>
        </xdr:cNvPr>
        <xdr:cNvSpPr/>
      </xdr:nvSpPr>
      <xdr:spPr>
        <a:xfrm>
          <a:off x="3292886"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8</xdr:col>
      <xdr:colOff>0</xdr:colOff>
      <xdr:row>0</xdr:row>
      <xdr:rowOff>0</xdr:rowOff>
    </xdr:from>
    <xdr:ext cx="1095375" cy="10795"/>
    <xdr:sp macro="" textlink="">
      <xdr:nvSpPr>
        <xdr:cNvPr id="311" name="Shape 17">
          <a:extLst>
            <a:ext uri="{FF2B5EF4-FFF2-40B4-BE49-F238E27FC236}">
              <a16:creationId xmlns:a16="http://schemas.microsoft.com/office/drawing/2014/main" id="{5C370896-5F73-454A-8B29-AF5B23C79AD9}"/>
            </a:ext>
          </a:extLst>
        </xdr:cNvPr>
        <xdr:cNvSpPr/>
      </xdr:nvSpPr>
      <xdr:spPr>
        <a:xfrm>
          <a:off x="7753350"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8</xdr:col>
      <xdr:colOff>0</xdr:colOff>
      <xdr:row>0</xdr:row>
      <xdr:rowOff>0</xdr:rowOff>
    </xdr:from>
    <xdr:ext cx="1095375" cy="10795"/>
    <xdr:sp macro="" textlink="">
      <xdr:nvSpPr>
        <xdr:cNvPr id="330" name="Shape 18">
          <a:extLst>
            <a:ext uri="{FF2B5EF4-FFF2-40B4-BE49-F238E27FC236}">
              <a16:creationId xmlns:a16="http://schemas.microsoft.com/office/drawing/2014/main" id="{5092EC09-1AFD-4CCC-8BCC-E6DCDC22D521}"/>
            </a:ext>
          </a:extLst>
        </xdr:cNvPr>
        <xdr:cNvSpPr/>
      </xdr:nvSpPr>
      <xdr:spPr>
        <a:xfrm>
          <a:off x="6789825"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oneCellAnchor>
    <xdr:from>
      <xdr:col>8</xdr:col>
      <xdr:colOff>0</xdr:colOff>
      <xdr:row>0</xdr:row>
      <xdr:rowOff>0</xdr:rowOff>
    </xdr:from>
    <xdr:ext cx="1095375" cy="10795"/>
    <xdr:sp macro="" textlink="">
      <xdr:nvSpPr>
        <xdr:cNvPr id="343" name="Shape 17">
          <a:extLst>
            <a:ext uri="{FF2B5EF4-FFF2-40B4-BE49-F238E27FC236}">
              <a16:creationId xmlns:a16="http://schemas.microsoft.com/office/drawing/2014/main" id="{870BD031-D01E-4216-9258-BFCB280D3CB6}"/>
            </a:ext>
          </a:extLst>
        </xdr:cNvPr>
        <xdr:cNvSpPr/>
      </xdr:nvSpPr>
      <xdr:spPr>
        <a:xfrm>
          <a:off x="7753350" y="0"/>
          <a:ext cx="1095375" cy="10795"/>
        </a:xfrm>
        <a:custGeom>
          <a:avLst/>
          <a:gdLst/>
          <a:ahLst/>
          <a:cxnLst/>
          <a:rect l="0" t="0" r="0" b="0"/>
          <a:pathLst>
            <a:path w="1095375" h="10795">
              <a:moveTo>
                <a:pt x="1095375" y="0"/>
              </a:moveTo>
              <a:lnTo>
                <a:pt x="0" y="0"/>
              </a:lnTo>
              <a:lnTo>
                <a:pt x="0" y="10579"/>
              </a:lnTo>
              <a:lnTo>
                <a:pt x="1095375" y="10579"/>
              </a:lnTo>
              <a:lnTo>
                <a:pt x="1095375" y="0"/>
              </a:lnTo>
              <a:close/>
            </a:path>
          </a:pathLst>
        </a:custGeom>
        <a:solidFill>
          <a:srgbClr val="000000"/>
        </a:solidFill>
      </xdr:spPr>
    </xdr:sp>
    <xdr:clientData/>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Custom 2">
      <a:dk1>
        <a:sysClr val="windowText" lastClr="000000"/>
      </a:dk1>
      <a:lt1>
        <a:sysClr val="window" lastClr="FFFFFF"/>
      </a:lt1>
      <a:dk2>
        <a:srgbClr val="0E2841"/>
      </a:dk2>
      <a:lt2>
        <a:srgbClr val="E8E8E8"/>
      </a:lt2>
      <a:accent1>
        <a:srgbClr val="00B0F0"/>
      </a:accent1>
      <a:accent2>
        <a:srgbClr val="00B050"/>
      </a:accent2>
      <a:accent3>
        <a:srgbClr val="FFFF00"/>
      </a:accent3>
      <a:accent4>
        <a:srgbClr val="FF0000"/>
      </a:accent4>
      <a:accent5>
        <a:srgbClr val="A02B93"/>
      </a:accent5>
      <a:accent6>
        <a:srgbClr val="4EA72E"/>
      </a:accent6>
      <a:hlink>
        <a:srgbClr val="467886"/>
      </a:hlink>
      <a:folHlink>
        <a:srgbClr val="96607D"/>
      </a:folHlink>
    </a:clrScheme>
    <a:fontScheme name="Ion">
      <a:majorFont>
        <a:latin typeface="Century Gothic" panose="020B050202020202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389DB-B5DA-4FD3-A410-33DC15CB0D70}">
  <dimension ref="A1:I25"/>
  <sheetViews>
    <sheetView showGridLines="0" zoomScaleNormal="100" zoomScaleSheetLayoutView="115" workbookViewId="0">
      <selection activeCell="J14" sqref="J14"/>
    </sheetView>
  </sheetViews>
  <sheetFormatPr defaultRowHeight="12.75" x14ac:dyDescent="0.2"/>
  <sheetData>
    <row r="1" spans="1:9" x14ac:dyDescent="0.2">
      <c r="A1" s="282"/>
      <c r="B1" s="282"/>
      <c r="C1" s="282"/>
      <c r="D1" s="282"/>
      <c r="E1" s="282"/>
      <c r="F1" s="282"/>
      <c r="G1" s="282"/>
      <c r="H1" s="282"/>
      <c r="I1" s="282"/>
    </row>
    <row r="14" spans="1:9" ht="90" customHeight="1" x14ac:dyDescent="0.2">
      <c r="A14" s="281" t="s">
        <v>535</v>
      </c>
      <c r="B14" s="282"/>
      <c r="C14" s="282"/>
      <c r="D14" s="282"/>
      <c r="E14" s="282"/>
      <c r="F14" s="282"/>
      <c r="G14" s="282"/>
      <c r="H14" s="282"/>
      <c r="I14" s="282"/>
    </row>
    <row r="15" spans="1:9" ht="30" customHeight="1" x14ac:dyDescent="0.2">
      <c r="A15" s="281" t="s">
        <v>330</v>
      </c>
      <c r="B15" s="281"/>
      <c r="C15" s="281"/>
      <c r="D15" s="281"/>
      <c r="E15" s="281"/>
      <c r="F15" s="281"/>
      <c r="G15" s="281"/>
      <c r="H15" s="281"/>
      <c r="I15" s="281"/>
    </row>
    <row r="16" spans="1:9" ht="15" customHeight="1" x14ac:dyDescent="0.2">
      <c r="A16" s="146"/>
      <c r="B16" s="146"/>
      <c r="C16" s="146"/>
      <c r="D16" s="146"/>
      <c r="E16" s="146"/>
      <c r="F16" s="146"/>
      <c r="G16" s="146"/>
      <c r="H16" s="146"/>
      <c r="I16" s="146"/>
    </row>
    <row r="17" spans="1:9" x14ac:dyDescent="0.2">
      <c r="A17" s="282" t="s">
        <v>341</v>
      </c>
      <c r="B17" s="282"/>
      <c r="C17" s="282"/>
      <c r="D17" s="282"/>
      <c r="E17" s="282"/>
      <c r="F17" s="282"/>
      <c r="G17" s="282"/>
      <c r="H17" s="282"/>
      <c r="I17" s="282"/>
    </row>
    <row r="18" spans="1:9" x14ac:dyDescent="0.2">
      <c r="A18" s="282" t="s">
        <v>329</v>
      </c>
      <c r="B18" s="282"/>
      <c r="C18" s="282"/>
      <c r="D18" s="282"/>
      <c r="E18" s="282"/>
      <c r="F18" s="282"/>
      <c r="G18" s="282"/>
      <c r="H18" s="282"/>
      <c r="I18" s="282"/>
    </row>
    <row r="19" spans="1:9" ht="15" customHeight="1" x14ac:dyDescent="0.2"/>
    <row r="20" spans="1:9" ht="30" customHeight="1" x14ac:dyDescent="0.2">
      <c r="A20" s="281" t="s">
        <v>334</v>
      </c>
      <c r="B20" s="281"/>
      <c r="C20" s="281"/>
      <c r="D20" s="281"/>
      <c r="E20" s="281"/>
      <c r="F20" s="281"/>
      <c r="G20" s="281"/>
      <c r="H20" s="281"/>
      <c r="I20" s="281"/>
    </row>
    <row r="22" spans="1:9" ht="30" customHeight="1" x14ac:dyDescent="0.2">
      <c r="A22" s="281" t="s">
        <v>331</v>
      </c>
      <c r="B22" s="281"/>
      <c r="C22" s="281"/>
      <c r="D22" s="281"/>
      <c r="E22" s="281"/>
      <c r="F22" s="281"/>
      <c r="G22" s="281"/>
      <c r="H22" s="281"/>
      <c r="I22" s="281"/>
    </row>
    <row r="23" spans="1:9" ht="40.5" customHeight="1" x14ac:dyDescent="0.2">
      <c r="A23" s="281" t="s">
        <v>332</v>
      </c>
      <c r="B23" s="282"/>
      <c r="C23" s="282"/>
      <c r="D23" s="282"/>
      <c r="E23" s="282"/>
      <c r="F23" s="282"/>
      <c r="G23" s="282"/>
      <c r="H23" s="282"/>
      <c r="I23" s="282"/>
    </row>
    <row r="25" spans="1:9" x14ac:dyDescent="0.2">
      <c r="A25" s="282" t="s">
        <v>333</v>
      </c>
      <c r="B25" s="282"/>
      <c r="C25" s="282"/>
      <c r="D25" s="282"/>
      <c r="E25" s="282"/>
      <c r="F25" s="282"/>
      <c r="G25" s="282"/>
      <c r="H25" s="282"/>
      <c r="I25" s="282"/>
    </row>
  </sheetData>
  <mergeCells count="9">
    <mergeCell ref="A23:I23"/>
    <mergeCell ref="A25:I25"/>
    <mergeCell ref="A14:I14"/>
    <mergeCell ref="A1:I1"/>
    <mergeCell ref="A15:I15"/>
    <mergeCell ref="A20:I20"/>
    <mergeCell ref="A18:I18"/>
    <mergeCell ref="A17:I17"/>
    <mergeCell ref="A22:I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9849-6F65-4A70-97C2-4584D1D04FC6}">
  <sheetPr>
    <pageSetUpPr fitToPage="1"/>
  </sheetPr>
  <dimension ref="A1:O906"/>
  <sheetViews>
    <sheetView tabSelected="1" zoomScale="110" zoomScaleNormal="110" workbookViewId="0">
      <pane ySplit="1" topLeftCell="A2" activePane="bottomLeft" state="frozen"/>
      <selection activeCell="N22" sqref="N22"/>
      <selection pane="bottomLeft" activeCell="M58" sqref="M58"/>
    </sheetView>
  </sheetViews>
  <sheetFormatPr defaultColWidth="9.33203125" defaultRowHeight="12.75" x14ac:dyDescent="0.2"/>
  <cols>
    <col min="1" max="2" width="5" style="12" customWidth="1"/>
    <col min="3" max="4" width="5.83203125" style="12" customWidth="1"/>
    <col min="5" max="5" width="5.5" style="28" customWidth="1"/>
    <col min="6" max="6" width="75.83203125" style="28" customWidth="1"/>
    <col min="7" max="7" width="17" style="106" customWidth="1"/>
    <col min="8" max="13" width="17" style="54" customWidth="1"/>
    <col min="14" max="14" width="19.1640625" style="54" customWidth="1"/>
    <col min="15" max="15" width="27.83203125" style="12" bestFit="1" customWidth="1"/>
    <col min="16" max="16384" width="9.33203125" style="12"/>
  </cols>
  <sheetData>
    <row r="1" spans="1:15" ht="42.75" customHeight="1" x14ac:dyDescent="0.2">
      <c r="A1" s="238" t="s">
        <v>554</v>
      </c>
      <c r="B1" s="238"/>
      <c r="C1" s="238"/>
      <c r="D1" s="238"/>
      <c r="E1" s="238"/>
      <c r="F1" s="239"/>
      <c r="G1" s="144" t="s">
        <v>0</v>
      </c>
      <c r="H1" s="144" t="s">
        <v>1</v>
      </c>
      <c r="I1" s="144" t="s">
        <v>2</v>
      </c>
      <c r="J1" s="144" t="s">
        <v>3</v>
      </c>
      <c r="K1" s="144" t="s">
        <v>315</v>
      </c>
      <c r="L1" s="144" t="s">
        <v>527</v>
      </c>
      <c r="M1" s="144" t="s">
        <v>529</v>
      </c>
      <c r="N1" s="144" t="s">
        <v>528</v>
      </c>
      <c r="O1" s="23"/>
    </row>
    <row r="2" spans="1:15" x14ac:dyDescent="0.2">
      <c r="A2" s="264" t="s">
        <v>4</v>
      </c>
      <c r="B2" s="264"/>
      <c r="C2" s="264"/>
      <c r="D2" s="264"/>
      <c r="E2" s="264"/>
      <c r="F2" s="265"/>
      <c r="G2" s="119">
        <f>G3+G5+G19+G29+G121+G127+G130+G138+G140+G152</f>
        <v>229941311</v>
      </c>
      <c r="H2" s="119">
        <f>H3+H5+H19+H29+H121+H127+H130+H138+H140+H152</f>
        <v>232798334</v>
      </c>
      <c r="I2" s="119">
        <f t="shared" ref="I2:K2" si="0">I3+I5+I19+I29+I121+I127+I130+I138+I140+I152</f>
        <v>305853551</v>
      </c>
      <c r="J2" s="119">
        <f t="shared" si="0"/>
        <v>292364670.88499999</v>
      </c>
      <c r="K2" s="119">
        <f t="shared" si="0"/>
        <v>308267763.00999999</v>
      </c>
      <c r="L2" s="119">
        <f>L3+L5+L19+L29+L121+L127+L130+L138+L140+L152</f>
        <v>333036573</v>
      </c>
      <c r="M2" s="119">
        <f>M3+M5+M19+M29+M121+M127+M130+M138+M140+M152</f>
        <v>320927976</v>
      </c>
      <c r="N2" s="119">
        <f>N3+N5+N19+N29+N121+N127+N130+N138+N140+N152</f>
        <v>354521743</v>
      </c>
      <c r="O2" s="95"/>
    </row>
    <row r="3" spans="1:15" x14ac:dyDescent="0.2">
      <c r="B3" s="266" t="s">
        <v>5</v>
      </c>
      <c r="C3" s="266"/>
      <c r="D3" s="266"/>
      <c r="E3" s="266"/>
      <c r="F3" s="266"/>
      <c r="G3" s="82">
        <f>G4</f>
        <v>0</v>
      </c>
      <c r="H3" s="82">
        <f t="shared" ref="H3:N3" si="1">H4</f>
        <v>0</v>
      </c>
      <c r="I3" s="82">
        <f t="shared" si="1"/>
        <v>0</v>
      </c>
      <c r="J3" s="82">
        <f t="shared" si="1"/>
        <v>0</v>
      </c>
      <c r="K3" s="82">
        <f t="shared" si="1"/>
        <v>0</v>
      </c>
      <c r="L3" s="82">
        <f t="shared" si="1"/>
        <v>14393809</v>
      </c>
      <c r="M3" s="82">
        <f t="shared" si="1"/>
        <v>0</v>
      </c>
      <c r="N3" s="82">
        <f t="shared" si="1"/>
        <v>23880621</v>
      </c>
      <c r="O3" s="14"/>
    </row>
    <row r="4" spans="1:15" x14ac:dyDescent="0.2">
      <c r="B4" s="80"/>
      <c r="C4" s="80"/>
      <c r="D4" s="232" t="s">
        <v>6</v>
      </c>
      <c r="E4" s="233"/>
      <c r="F4" s="234"/>
      <c r="G4" s="79">
        <v>0</v>
      </c>
      <c r="H4" s="79">
        <v>0</v>
      </c>
      <c r="I4" s="88">
        <v>0</v>
      </c>
      <c r="J4" s="88">
        <v>0</v>
      </c>
      <c r="K4" s="88">
        <v>0</v>
      </c>
      <c r="L4" s="88">
        <v>14393809</v>
      </c>
      <c r="M4" s="78">
        <v>0</v>
      </c>
      <c r="N4" s="88">
        <v>23880621</v>
      </c>
      <c r="O4" s="14"/>
    </row>
    <row r="5" spans="1:15" x14ac:dyDescent="0.2">
      <c r="B5" s="267" t="s">
        <v>7</v>
      </c>
      <c r="C5" s="267"/>
      <c r="D5" s="267"/>
      <c r="E5" s="267"/>
      <c r="F5" s="267"/>
      <c r="G5" s="84">
        <f>SUM(G6:G18)</f>
        <v>7355313</v>
      </c>
      <c r="H5" s="84">
        <f t="shared" ref="H5:K5" si="2">SUM(H6:H18)</f>
        <v>7971618</v>
      </c>
      <c r="I5" s="84">
        <f t="shared" si="2"/>
        <v>10134584</v>
      </c>
      <c r="J5" s="84">
        <f t="shared" si="2"/>
        <v>9546030.0599999987</v>
      </c>
      <c r="K5" s="84">
        <f t="shared" si="2"/>
        <v>8801160.8000000007</v>
      </c>
      <c r="L5" s="84">
        <f>SUM(L6:L18)</f>
        <v>7985700</v>
      </c>
      <c r="M5" s="84">
        <f t="shared" ref="M5" si="3">SUM(M6:M18)</f>
        <v>6948003</v>
      </c>
      <c r="N5" s="84">
        <f t="shared" ref="N5" si="4">SUM(N6:N18)</f>
        <v>7026807</v>
      </c>
      <c r="O5" s="83"/>
    </row>
    <row r="6" spans="1:15" x14ac:dyDescent="0.2">
      <c r="B6" s="80"/>
      <c r="C6" s="80"/>
      <c r="D6" s="232" t="s">
        <v>8</v>
      </c>
      <c r="E6" s="233"/>
      <c r="F6" s="234"/>
      <c r="G6" s="79">
        <v>-2340341</v>
      </c>
      <c r="H6" s="94">
        <v>-3297202</v>
      </c>
      <c r="I6" s="78">
        <v>-2633269</v>
      </c>
      <c r="J6" s="78">
        <v>-2669944.0299999998</v>
      </c>
      <c r="K6" s="163">
        <v>-2678537.6800000002</v>
      </c>
      <c r="L6" s="163">
        <v>-2700000</v>
      </c>
      <c r="M6" s="78">
        <v>-2678538</v>
      </c>
      <c r="N6" s="78">
        <v>-2700000</v>
      </c>
      <c r="O6" s="14"/>
    </row>
    <row r="7" spans="1:15" x14ac:dyDescent="0.2">
      <c r="B7" s="80"/>
      <c r="C7" s="80"/>
      <c r="D7" s="232" t="s">
        <v>9</v>
      </c>
      <c r="E7" s="233"/>
      <c r="F7" s="234"/>
      <c r="G7" s="79">
        <v>258440</v>
      </c>
      <c r="H7" s="79">
        <v>248006</v>
      </c>
      <c r="I7" s="78">
        <v>251284</v>
      </c>
      <c r="J7" s="78">
        <v>265220.09000000003</v>
      </c>
      <c r="K7" s="78">
        <v>265200.87</v>
      </c>
      <c r="L7" s="78">
        <v>275000</v>
      </c>
      <c r="M7" s="78">
        <v>260801</v>
      </c>
      <c r="N7" s="78">
        <v>275000</v>
      </c>
      <c r="O7" s="14"/>
    </row>
    <row r="8" spans="1:15" x14ac:dyDescent="0.2">
      <c r="B8" s="80"/>
      <c r="C8" s="80"/>
      <c r="D8" s="232" t="s">
        <v>10</v>
      </c>
      <c r="E8" s="233"/>
      <c r="F8" s="234"/>
      <c r="G8" s="79">
        <v>383243</v>
      </c>
      <c r="H8" s="79">
        <v>501250</v>
      </c>
      <c r="I8" s="78">
        <v>106948</v>
      </c>
      <c r="J8" s="78">
        <v>113488.36</v>
      </c>
      <c r="K8" s="78">
        <v>74307.23</v>
      </c>
      <c r="L8" s="78">
        <v>50000</v>
      </c>
      <c r="M8" s="78">
        <v>77717</v>
      </c>
      <c r="N8" s="78">
        <v>80000</v>
      </c>
      <c r="O8" s="14"/>
    </row>
    <row r="9" spans="1:15" x14ac:dyDescent="0.2">
      <c r="B9" s="80"/>
      <c r="C9" s="80"/>
      <c r="D9" s="232" t="s">
        <v>11</v>
      </c>
      <c r="E9" s="233"/>
      <c r="F9" s="234"/>
      <c r="G9" s="79">
        <v>-316369</v>
      </c>
      <c r="H9" s="94">
        <v>-261823</v>
      </c>
      <c r="I9" s="78">
        <v>-334131</v>
      </c>
      <c r="J9" s="78">
        <v>-172342.87</v>
      </c>
      <c r="K9" s="78">
        <v>-236886.27</v>
      </c>
      <c r="L9" s="78">
        <v>-300000</v>
      </c>
      <c r="M9" s="78">
        <v>-306806</v>
      </c>
      <c r="N9" s="78">
        <v>-300000</v>
      </c>
      <c r="O9" s="14"/>
    </row>
    <row r="10" spans="1:15" x14ac:dyDescent="0.2">
      <c r="B10" s="80"/>
      <c r="C10" s="80"/>
      <c r="D10" s="232" t="s">
        <v>12</v>
      </c>
      <c r="E10" s="233"/>
      <c r="F10" s="234"/>
      <c r="G10" s="79">
        <v>0</v>
      </c>
      <c r="H10" s="79">
        <v>0</v>
      </c>
      <c r="I10" s="78">
        <v>0</v>
      </c>
      <c r="J10" s="78">
        <v>0</v>
      </c>
      <c r="K10" s="78">
        <v>0</v>
      </c>
      <c r="L10" s="78">
        <v>0</v>
      </c>
      <c r="M10" s="78">
        <v>0</v>
      </c>
      <c r="N10" s="78">
        <v>0</v>
      </c>
      <c r="O10" s="14"/>
    </row>
    <row r="11" spans="1:15" x14ac:dyDescent="0.2">
      <c r="B11" s="80"/>
      <c r="C11" s="80"/>
      <c r="D11" s="232" t="s">
        <v>13</v>
      </c>
      <c r="E11" s="233"/>
      <c r="F11" s="234"/>
      <c r="G11" s="79">
        <v>1290710</v>
      </c>
      <c r="H11" s="79">
        <v>1406674</v>
      </c>
      <c r="I11" s="78">
        <v>1493881</v>
      </c>
      <c r="J11" s="78">
        <v>1776178.94</v>
      </c>
      <c r="K11" s="78">
        <v>2032201.07</v>
      </c>
      <c r="L11" s="78">
        <v>1750000</v>
      </c>
      <c r="M11" s="78">
        <v>2500000</v>
      </c>
      <c r="N11" s="78">
        <v>2000000</v>
      </c>
      <c r="O11" s="14"/>
    </row>
    <row r="12" spans="1:15" x14ac:dyDescent="0.2">
      <c r="B12" s="80"/>
      <c r="C12" s="80"/>
      <c r="D12" s="232" t="s">
        <v>14</v>
      </c>
      <c r="E12" s="233"/>
      <c r="F12" s="234"/>
      <c r="G12" s="79">
        <v>4439</v>
      </c>
      <c r="H12" s="79">
        <v>5902</v>
      </c>
      <c r="I12" s="78">
        <v>0</v>
      </c>
      <c r="J12" s="78">
        <v>0</v>
      </c>
      <c r="K12" s="78">
        <v>0</v>
      </c>
      <c r="L12" s="78">
        <v>5000</v>
      </c>
      <c r="M12" s="78">
        <v>0</v>
      </c>
      <c r="N12" s="78">
        <v>0</v>
      </c>
      <c r="O12" s="14"/>
    </row>
    <row r="13" spans="1:15" x14ac:dyDescent="0.2">
      <c r="B13" s="80"/>
      <c r="C13" s="80"/>
      <c r="D13" s="232" t="s">
        <v>15</v>
      </c>
      <c r="E13" s="233"/>
      <c r="F13" s="234"/>
      <c r="G13" s="79">
        <v>3388495</v>
      </c>
      <c r="H13" s="79">
        <v>3964479</v>
      </c>
      <c r="I13" s="78">
        <v>4276311</v>
      </c>
      <c r="J13" s="78">
        <v>4926150.29</v>
      </c>
      <c r="K13" s="78">
        <v>2621528.2799999998</v>
      </c>
      <c r="L13" s="78">
        <v>4000000</v>
      </c>
      <c r="M13" s="78">
        <v>2700000</v>
      </c>
      <c r="N13" s="78">
        <v>3571307</v>
      </c>
      <c r="O13" s="14"/>
    </row>
    <row r="14" spans="1:15" x14ac:dyDescent="0.2">
      <c r="B14" s="80"/>
      <c r="C14" s="80"/>
      <c r="D14" s="232" t="s">
        <v>16</v>
      </c>
      <c r="E14" s="233"/>
      <c r="F14" s="234"/>
      <c r="G14" s="79">
        <v>100000</v>
      </c>
      <c r="H14" s="79">
        <v>0</v>
      </c>
      <c r="I14" s="78">
        <v>100000</v>
      </c>
      <c r="J14" s="78">
        <v>0</v>
      </c>
      <c r="K14" s="78">
        <v>0</v>
      </c>
      <c r="L14" s="78">
        <v>0</v>
      </c>
      <c r="M14" s="78">
        <v>0</v>
      </c>
      <c r="N14" s="78">
        <v>0</v>
      </c>
      <c r="O14" s="14"/>
    </row>
    <row r="15" spans="1:15" x14ac:dyDescent="0.2">
      <c r="B15" s="80"/>
      <c r="C15" s="80"/>
      <c r="D15" s="232" t="s">
        <v>17</v>
      </c>
      <c r="E15" s="233"/>
      <c r="F15" s="234"/>
      <c r="G15" s="79">
        <v>2674148</v>
      </c>
      <c r="H15" s="79">
        <v>3469459</v>
      </c>
      <c r="I15" s="78">
        <v>4779552</v>
      </c>
      <c r="J15" s="78">
        <v>3110028.28</v>
      </c>
      <c r="K15" s="78">
        <v>4108988.3</v>
      </c>
      <c r="L15" s="78">
        <v>4000000</v>
      </c>
      <c r="M15" s="78">
        <v>3500000</v>
      </c>
      <c r="N15" s="78">
        <v>4000000</v>
      </c>
      <c r="O15" s="14"/>
    </row>
    <row r="16" spans="1:15" x14ac:dyDescent="0.2">
      <c r="B16" s="80"/>
      <c r="C16" s="80"/>
      <c r="D16" s="232" t="s">
        <v>18</v>
      </c>
      <c r="E16" s="233"/>
      <c r="F16" s="234"/>
      <c r="G16" s="79">
        <v>1912048</v>
      </c>
      <c r="H16" s="79">
        <v>1934873</v>
      </c>
      <c r="I16" s="78">
        <v>2093508</v>
      </c>
      <c r="J16" s="78">
        <v>2196751</v>
      </c>
      <c r="K16" s="78">
        <v>2613359</v>
      </c>
      <c r="L16" s="78">
        <v>2100000</v>
      </c>
      <c r="M16" s="78">
        <v>2089129</v>
      </c>
      <c r="N16" s="78">
        <v>2100000</v>
      </c>
      <c r="O16" s="14"/>
    </row>
    <row r="17" spans="2:15" x14ac:dyDescent="0.2">
      <c r="B17" s="80"/>
      <c r="C17" s="80"/>
      <c r="D17" s="232" t="s">
        <v>19</v>
      </c>
      <c r="E17" s="233"/>
      <c r="F17" s="234"/>
      <c r="G17" s="79">
        <v>500</v>
      </c>
      <c r="H17" s="79">
        <v>0</v>
      </c>
      <c r="I17" s="78">
        <v>500</v>
      </c>
      <c r="J17" s="78">
        <v>500</v>
      </c>
      <c r="K17" s="78">
        <v>1000</v>
      </c>
      <c r="L17" s="78">
        <v>500</v>
      </c>
      <c r="M17" s="78">
        <v>500</v>
      </c>
      <c r="N17" s="78">
        <v>500</v>
      </c>
      <c r="O17" s="14"/>
    </row>
    <row r="18" spans="2:15" x14ac:dyDescent="0.2">
      <c r="B18" s="80"/>
      <c r="C18" s="80"/>
      <c r="D18" s="232" t="s">
        <v>20</v>
      </c>
      <c r="E18" s="233"/>
      <c r="F18" s="234"/>
      <c r="G18" s="79">
        <v>0</v>
      </c>
      <c r="H18" s="79">
        <v>0</v>
      </c>
      <c r="I18" s="78">
        <v>0</v>
      </c>
      <c r="J18" s="78">
        <v>0</v>
      </c>
      <c r="K18" s="100">
        <v>0</v>
      </c>
      <c r="L18" s="100">
        <v>-1194800</v>
      </c>
      <c r="M18" s="78">
        <v>-1194800</v>
      </c>
      <c r="N18" s="78">
        <v>-2000000</v>
      </c>
      <c r="O18" s="14"/>
    </row>
    <row r="19" spans="2:15" x14ac:dyDescent="0.2">
      <c r="B19" s="266" t="s">
        <v>21</v>
      </c>
      <c r="C19" s="266"/>
      <c r="D19" s="266"/>
      <c r="E19" s="266"/>
      <c r="F19" s="266"/>
      <c r="G19" s="93">
        <f>SUM(G20:G28)</f>
        <v>104571907</v>
      </c>
      <c r="H19" s="93">
        <f t="shared" ref="H19:K19" si="5">SUM(H20:H28)</f>
        <v>113012832</v>
      </c>
      <c r="I19" s="93">
        <f t="shared" si="5"/>
        <v>121817211</v>
      </c>
      <c r="J19" s="93">
        <f t="shared" si="5"/>
        <v>126479331.59999999</v>
      </c>
      <c r="K19" s="93">
        <f t="shared" si="5"/>
        <v>127859558.41000001</v>
      </c>
      <c r="L19" s="93">
        <f>SUM(L20:L28)</f>
        <v>130750761</v>
      </c>
      <c r="M19" s="93">
        <f t="shared" ref="M19" si="6">SUM(M20:M28)</f>
        <v>131351104</v>
      </c>
      <c r="N19" s="93">
        <f t="shared" ref="N19" si="7">SUM(N20:N28)</f>
        <v>133686341</v>
      </c>
      <c r="O19" s="14"/>
    </row>
    <row r="20" spans="2:15" x14ac:dyDescent="0.2">
      <c r="B20" s="80"/>
      <c r="C20" s="80"/>
      <c r="D20" s="232" t="s">
        <v>22</v>
      </c>
      <c r="E20" s="233"/>
      <c r="F20" s="234"/>
      <c r="G20" s="79">
        <v>99224049</v>
      </c>
      <c r="H20" s="79">
        <v>108084537</v>
      </c>
      <c r="I20" s="78">
        <v>115788545</v>
      </c>
      <c r="J20" s="78">
        <v>119484222.98</v>
      </c>
      <c r="K20" s="78">
        <v>121145765.48</v>
      </c>
      <c r="L20" s="78">
        <v>122975761</v>
      </c>
      <c r="M20" s="78">
        <v>124124474</v>
      </c>
      <c r="N20" s="78">
        <v>125986341</v>
      </c>
      <c r="O20" s="14"/>
    </row>
    <row r="21" spans="2:15" x14ac:dyDescent="0.2">
      <c r="B21" s="80"/>
      <c r="C21" s="80"/>
      <c r="D21" s="232" t="s">
        <v>23</v>
      </c>
      <c r="E21" s="233"/>
      <c r="F21" s="234"/>
      <c r="G21" s="79">
        <v>1879910</v>
      </c>
      <c r="H21" s="79">
        <v>2055355</v>
      </c>
      <c r="I21" s="78">
        <v>2100277</v>
      </c>
      <c r="J21" s="78">
        <v>1979156.89</v>
      </c>
      <c r="K21" s="78">
        <v>2282020.9</v>
      </c>
      <c r="L21" s="78">
        <v>2150000</v>
      </c>
      <c r="M21" s="78">
        <v>2173186</v>
      </c>
      <c r="N21" s="78">
        <v>2175000</v>
      </c>
      <c r="O21" s="14"/>
    </row>
    <row r="22" spans="2:15" x14ac:dyDescent="0.2">
      <c r="B22" s="80"/>
      <c r="C22" s="80"/>
      <c r="D22" s="232" t="s">
        <v>24</v>
      </c>
      <c r="E22" s="233"/>
      <c r="F22" s="234"/>
      <c r="G22" s="79">
        <v>0</v>
      </c>
      <c r="H22" s="79">
        <v>0</v>
      </c>
      <c r="I22" s="79">
        <v>0</v>
      </c>
      <c r="J22" s="79">
        <v>0</v>
      </c>
      <c r="K22" s="78">
        <v>290030.27</v>
      </c>
      <c r="L22" s="78">
        <v>800000</v>
      </c>
      <c r="M22" s="79">
        <v>737000</v>
      </c>
      <c r="N22" s="78">
        <v>800000</v>
      </c>
      <c r="O22" s="14"/>
    </row>
    <row r="23" spans="2:15" x14ac:dyDescent="0.2">
      <c r="B23" s="80"/>
      <c r="C23" s="80"/>
      <c r="D23" s="232" t="s">
        <v>25</v>
      </c>
      <c r="E23" s="233"/>
      <c r="F23" s="234"/>
      <c r="G23" s="79">
        <v>1433154</v>
      </c>
      <c r="H23" s="79">
        <v>1027527</v>
      </c>
      <c r="I23" s="78">
        <v>1300189</v>
      </c>
      <c r="J23" s="78">
        <v>1460413.28</v>
      </c>
      <c r="K23" s="78">
        <v>849883.87</v>
      </c>
      <c r="L23" s="78">
        <v>1350000</v>
      </c>
      <c r="M23" s="78">
        <v>1000590</v>
      </c>
      <c r="N23" s="78">
        <v>1250000</v>
      </c>
      <c r="O23" s="14"/>
    </row>
    <row r="24" spans="2:15" x14ac:dyDescent="0.2">
      <c r="B24" s="80"/>
      <c r="C24" s="80"/>
      <c r="D24" s="232" t="s">
        <v>26</v>
      </c>
      <c r="E24" s="233"/>
      <c r="F24" s="234"/>
      <c r="G24" s="79">
        <v>63572</v>
      </c>
      <c r="H24" s="79">
        <v>95413</v>
      </c>
      <c r="I24" s="78">
        <v>131747</v>
      </c>
      <c r="J24" s="78">
        <v>225929.85</v>
      </c>
      <c r="K24" s="78">
        <v>115979.66</v>
      </c>
      <c r="L24" s="78">
        <v>125000</v>
      </c>
      <c r="M24" s="78">
        <v>40000</v>
      </c>
      <c r="N24" s="78">
        <v>125000</v>
      </c>
      <c r="O24" s="14"/>
    </row>
    <row r="25" spans="2:15" x14ac:dyDescent="0.2">
      <c r="B25" s="80"/>
      <c r="C25" s="80"/>
      <c r="D25" s="232" t="s">
        <v>27</v>
      </c>
      <c r="E25" s="233"/>
      <c r="F25" s="234"/>
      <c r="G25" s="79">
        <v>500000</v>
      </c>
      <c r="H25" s="79">
        <v>500000</v>
      </c>
      <c r="I25" s="78">
        <v>500000</v>
      </c>
      <c r="J25" s="78">
        <v>493575</v>
      </c>
      <c r="K25" s="78">
        <v>375000</v>
      </c>
      <c r="L25" s="78">
        <v>125000</v>
      </c>
      <c r="M25" s="78">
        <v>125000</v>
      </c>
      <c r="N25" s="78">
        <v>125000</v>
      </c>
      <c r="O25" s="14"/>
    </row>
    <row r="26" spans="2:15" x14ac:dyDescent="0.2">
      <c r="B26" s="80"/>
      <c r="C26" s="80"/>
      <c r="D26" s="232" t="s">
        <v>28</v>
      </c>
      <c r="E26" s="233"/>
      <c r="F26" s="234"/>
      <c r="G26" s="79">
        <v>1000000</v>
      </c>
      <c r="H26" s="79">
        <v>1250000</v>
      </c>
      <c r="I26" s="78">
        <v>1500000</v>
      </c>
      <c r="J26" s="78">
        <v>1750000</v>
      </c>
      <c r="K26" s="78">
        <v>2000000</v>
      </c>
      <c r="L26" s="78">
        <v>2000000</v>
      </c>
      <c r="M26" s="78">
        <v>2000000</v>
      </c>
      <c r="N26" s="78">
        <v>2000000</v>
      </c>
      <c r="O26" s="14"/>
    </row>
    <row r="27" spans="2:15" x14ac:dyDescent="0.2">
      <c r="B27" s="80"/>
      <c r="C27" s="80"/>
      <c r="D27" s="232" t="s">
        <v>29</v>
      </c>
      <c r="E27" s="233"/>
      <c r="F27" s="234"/>
      <c r="G27" s="79">
        <v>471222</v>
      </c>
      <c r="H27" s="79">
        <v>0</v>
      </c>
      <c r="I27" s="78">
        <v>496453</v>
      </c>
      <c r="J27" s="78">
        <v>514985.44</v>
      </c>
      <c r="K27" s="78">
        <v>100000</v>
      </c>
      <c r="L27" s="78">
        <v>475000</v>
      </c>
      <c r="M27" s="78">
        <v>486580</v>
      </c>
      <c r="N27" s="78">
        <v>475000</v>
      </c>
      <c r="O27" s="14"/>
    </row>
    <row r="28" spans="2:15" x14ac:dyDescent="0.2">
      <c r="B28" s="80"/>
      <c r="C28" s="80"/>
      <c r="D28" s="232" t="s">
        <v>30</v>
      </c>
      <c r="E28" s="233"/>
      <c r="F28" s="234"/>
      <c r="G28" s="79">
        <v>0</v>
      </c>
      <c r="H28" s="79">
        <v>0</v>
      </c>
      <c r="I28" s="78">
        <v>0</v>
      </c>
      <c r="J28" s="78">
        <v>571048.16</v>
      </c>
      <c r="K28" s="78">
        <v>700878.23</v>
      </c>
      <c r="L28" s="78">
        <v>750000</v>
      </c>
      <c r="M28" s="78">
        <v>664274</v>
      </c>
      <c r="N28" s="78">
        <v>750000</v>
      </c>
      <c r="O28" s="14"/>
    </row>
    <row r="29" spans="2:15" x14ac:dyDescent="0.2">
      <c r="B29" s="266" t="s">
        <v>31</v>
      </c>
      <c r="C29" s="266"/>
      <c r="D29" s="266"/>
      <c r="E29" s="266"/>
      <c r="F29" s="266"/>
      <c r="G29" s="93">
        <f>G30+G52+G54+G70+G77+G82+G91+G94+G118</f>
        <v>13679182</v>
      </c>
      <c r="H29" s="93">
        <f t="shared" ref="H29:J29" si="8">H30+H52+H54+H70+H77+H82+H91+H94+H118</f>
        <v>25726950</v>
      </c>
      <c r="I29" s="93">
        <f t="shared" si="8"/>
        <v>17289114</v>
      </c>
      <c r="J29" s="93">
        <f t="shared" si="8"/>
        <v>20058821.105</v>
      </c>
      <c r="K29" s="93">
        <f>K30+K52+K54+K70+K77+K82+K91+K94+K118</f>
        <v>21281953.57</v>
      </c>
      <c r="L29" s="93">
        <f t="shared" ref="L29" si="9">L30+L52+L54+L70+L77+L82+L91+L94+L118</f>
        <v>26925280</v>
      </c>
      <c r="M29" s="93">
        <f t="shared" ref="M29" si="10">M30+M52+M54+M70+M77+M82+M91+M94+M118</f>
        <v>25465849</v>
      </c>
      <c r="N29" s="93">
        <f t="shared" ref="N29" si="11">N30+N52+N54+N70+N77+N82+N91+N94+N118</f>
        <v>26863586</v>
      </c>
      <c r="O29" s="14"/>
    </row>
    <row r="30" spans="2:15" x14ac:dyDescent="0.2">
      <c r="B30" s="80"/>
      <c r="C30" s="258" t="s">
        <v>32</v>
      </c>
      <c r="D30" s="258"/>
      <c r="E30" s="258"/>
      <c r="F30" s="258"/>
      <c r="G30" s="93">
        <f>SUM(G31:G51)</f>
        <v>4407985</v>
      </c>
      <c r="H30" s="93">
        <f t="shared" ref="H30:N30" si="12">SUM(H31:H51)</f>
        <v>13692000</v>
      </c>
      <c r="I30" s="93">
        <f t="shared" si="12"/>
        <v>4781643</v>
      </c>
      <c r="J30" s="93">
        <f t="shared" si="12"/>
        <v>4500722.6700000009</v>
      </c>
      <c r="K30" s="93">
        <f t="shared" si="12"/>
        <v>4997651.0999999996</v>
      </c>
      <c r="L30" s="93">
        <f t="shared" si="12"/>
        <v>11926750</v>
      </c>
      <c r="M30" s="93">
        <f t="shared" si="12"/>
        <v>10485972</v>
      </c>
      <c r="N30" s="93">
        <f t="shared" si="12"/>
        <v>11052492</v>
      </c>
      <c r="O30" s="14"/>
    </row>
    <row r="31" spans="2:15" x14ac:dyDescent="0.2">
      <c r="B31" s="80"/>
      <c r="C31" s="80"/>
      <c r="D31" s="260" t="s">
        <v>33</v>
      </c>
      <c r="E31" s="260"/>
      <c r="F31" s="260"/>
      <c r="G31" s="79">
        <v>92951</v>
      </c>
      <c r="H31" s="79">
        <v>97340</v>
      </c>
      <c r="I31" s="88">
        <v>99134</v>
      </c>
      <c r="J31" s="88">
        <v>112834</v>
      </c>
      <c r="K31" s="88">
        <v>109927</v>
      </c>
      <c r="L31" s="88">
        <v>100000</v>
      </c>
      <c r="M31" s="78">
        <v>108766</v>
      </c>
      <c r="N31" s="88">
        <v>100000</v>
      </c>
      <c r="O31" s="23"/>
    </row>
    <row r="32" spans="2:15" x14ac:dyDescent="0.2">
      <c r="B32" s="80"/>
      <c r="C32" s="80"/>
      <c r="D32" s="232" t="s">
        <v>34</v>
      </c>
      <c r="E32" s="233"/>
      <c r="F32" s="234"/>
      <c r="G32" s="79">
        <v>12317</v>
      </c>
      <c r="H32" s="79">
        <v>12208</v>
      </c>
      <c r="I32" s="78">
        <v>8340</v>
      </c>
      <c r="J32" s="78">
        <v>6738.5</v>
      </c>
      <c r="K32" s="78">
        <v>9222</v>
      </c>
      <c r="L32" s="78">
        <v>12000</v>
      </c>
      <c r="M32" s="78">
        <v>10465</v>
      </c>
      <c r="N32" s="78">
        <v>12000</v>
      </c>
      <c r="O32" s="14"/>
    </row>
    <row r="33" spans="2:15" x14ac:dyDescent="0.2">
      <c r="B33" s="80"/>
      <c r="C33" s="80"/>
      <c r="D33" s="232" t="s">
        <v>35</v>
      </c>
      <c r="E33" s="233"/>
      <c r="F33" s="234"/>
      <c r="G33" s="79">
        <v>759685</v>
      </c>
      <c r="H33" s="79">
        <v>739588</v>
      </c>
      <c r="I33" s="78">
        <v>715279</v>
      </c>
      <c r="J33" s="78">
        <v>730680.88</v>
      </c>
      <c r="K33" s="78">
        <v>746443</v>
      </c>
      <c r="L33" s="78">
        <v>779500</v>
      </c>
      <c r="M33" s="78">
        <v>769002</v>
      </c>
      <c r="N33" s="78">
        <v>804992</v>
      </c>
      <c r="O33" s="14"/>
    </row>
    <row r="34" spans="2:15" x14ac:dyDescent="0.2">
      <c r="B34" s="80"/>
      <c r="C34" s="80"/>
      <c r="D34" s="232" t="s">
        <v>36</v>
      </c>
      <c r="E34" s="233"/>
      <c r="F34" s="234"/>
      <c r="G34" s="79">
        <v>961297</v>
      </c>
      <c r="H34" s="79">
        <v>696587</v>
      </c>
      <c r="I34" s="78">
        <v>762490</v>
      </c>
      <c r="J34" s="78">
        <v>691946.85</v>
      </c>
      <c r="K34" s="78">
        <v>741319.91</v>
      </c>
      <c r="L34" s="78">
        <v>650000</v>
      </c>
      <c r="M34" s="78">
        <v>637372</v>
      </c>
      <c r="N34" s="78">
        <v>650000</v>
      </c>
      <c r="O34" s="14"/>
    </row>
    <row r="35" spans="2:15" x14ac:dyDescent="0.2">
      <c r="B35" s="80"/>
      <c r="C35" s="80"/>
      <c r="D35" s="232" t="s">
        <v>37</v>
      </c>
      <c r="E35" s="233"/>
      <c r="F35" s="234"/>
      <c r="G35" s="79">
        <v>17133</v>
      </c>
      <c r="H35" s="79">
        <v>13185</v>
      </c>
      <c r="I35" s="78">
        <v>15298</v>
      </c>
      <c r="J35" s="78">
        <v>15880.83</v>
      </c>
      <c r="K35" s="78">
        <v>16905.900000000001</v>
      </c>
      <c r="L35" s="78">
        <v>16000</v>
      </c>
      <c r="M35" s="78">
        <v>15754</v>
      </c>
      <c r="N35" s="78">
        <v>16000</v>
      </c>
      <c r="O35" s="14"/>
    </row>
    <row r="36" spans="2:15" x14ac:dyDescent="0.2">
      <c r="B36" s="80"/>
      <c r="C36" s="80"/>
      <c r="D36" s="232" t="s">
        <v>38</v>
      </c>
      <c r="E36" s="233"/>
      <c r="F36" s="234"/>
      <c r="G36" s="79">
        <v>518</v>
      </c>
      <c r="H36" s="79">
        <v>1050</v>
      </c>
      <c r="I36" s="78">
        <v>908</v>
      </c>
      <c r="J36" s="78">
        <v>420</v>
      </c>
      <c r="K36" s="78">
        <v>0</v>
      </c>
      <c r="L36" s="78">
        <v>1000</v>
      </c>
      <c r="M36" s="78">
        <v>800</v>
      </c>
      <c r="N36" s="78">
        <v>1000</v>
      </c>
      <c r="O36" s="14"/>
    </row>
    <row r="37" spans="2:15" x14ac:dyDescent="0.2">
      <c r="B37" s="80"/>
      <c r="C37" s="80"/>
      <c r="D37" s="232" t="s">
        <v>39</v>
      </c>
      <c r="E37" s="233"/>
      <c r="F37" s="234"/>
      <c r="G37" s="79">
        <v>1028</v>
      </c>
      <c r="H37" s="79">
        <v>4326</v>
      </c>
      <c r="I37" s="78">
        <v>4805</v>
      </c>
      <c r="J37" s="78">
        <v>5430.32</v>
      </c>
      <c r="K37" s="78">
        <v>3109.95</v>
      </c>
      <c r="L37" s="78">
        <v>3750</v>
      </c>
      <c r="M37" s="78">
        <v>3994</v>
      </c>
      <c r="N37" s="78">
        <v>4000</v>
      </c>
      <c r="O37" s="14"/>
    </row>
    <row r="38" spans="2:15" x14ac:dyDescent="0.2">
      <c r="B38" s="80"/>
      <c r="C38" s="80"/>
      <c r="D38" s="232" t="s">
        <v>40</v>
      </c>
      <c r="E38" s="233"/>
      <c r="F38" s="234"/>
      <c r="G38" s="79">
        <v>1171</v>
      </c>
      <c r="H38" s="79">
        <v>1144</v>
      </c>
      <c r="I38" s="78">
        <v>4481</v>
      </c>
      <c r="J38" s="78">
        <v>80</v>
      </c>
      <c r="K38" s="78">
        <v>0</v>
      </c>
      <c r="L38" s="78">
        <v>0</v>
      </c>
      <c r="M38" s="78">
        <v>0</v>
      </c>
      <c r="N38" s="78">
        <v>0</v>
      </c>
      <c r="O38" s="14"/>
    </row>
    <row r="39" spans="2:15" x14ac:dyDescent="0.2">
      <c r="B39" s="80"/>
      <c r="C39" s="80"/>
      <c r="D39" s="232" t="s">
        <v>41</v>
      </c>
      <c r="E39" s="233"/>
      <c r="F39" s="234"/>
      <c r="G39" s="79">
        <v>42775</v>
      </c>
      <c r="H39" s="79">
        <v>47630</v>
      </c>
      <c r="I39" s="78">
        <v>36143</v>
      </c>
      <c r="J39" s="78">
        <v>32865</v>
      </c>
      <c r="K39" s="78">
        <v>39570</v>
      </c>
      <c r="L39" s="78">
        <v>45000</v>
      </c>
      <c r="M39" s="78">
        <v>46564</v>
      </c>
      <c r="N39" s="78">
        <v>45000</v>
      </c>
      <c r="O39" s="14"/>
    </row>
    <row r="40" spans="2:15" x14ac:dyDescent="0.2">
      <c r="B40" s="80"/>
      <c r="C40" s="80"/>
      <c r="D40" s="232" t="s">
        <v>42</v>
      </c>
      <c r="E40" s="233"/>
      <c r="F40" s="234"/>
      <c r="G40" s="79">
        <v>120</v>
      </c>
      <c r="H40" s="79">
        <v>150</v>
      </c>
      <c r="I40" s="78">
        <v>95</v>
      </c>
      <c r="J40" s="78">
        <v>80</v>
      </c>
      <c r="K40" s="78">
        <v>0</v>
      </c>
      <c r="L40" s="78">
        <v>0</v>
      </c>
      <c r="M40" s="78">
        <v>0</v>
      </c>
      <c r="N40" s="78">
        <v>0</v>
      </c>
      <c r="O40" s="14"/>
    </row>
    <row r="41" spans="2:15" x14ac:dyDescent="0.2">
      <c r="B41" s="80"/>
      <c r="C41" s="80"/>
      <c r="D41" s="232" t="s">
        <v>43</v>
      </c>
      <c r="E41" s="233"/>
      <c r="F41" s="234"/>
      <c r="G41" s="79">
        <v>57498</v>
      </c>
      <c r="H41" s="79">
        <v>172889</v>
      </c>
      <c r="I41" s="78">
        <v>173276</v>
      </c>
      <c r="J41" s="78">
        <v>277775</v>
      </c>
      <c r="K41" s="78">
        <v>491288.26</v>
      </c>
      <c r="L41" s="78">
        <v>350000</v>
      </c>
      <c r="M41" s="78">
        <v>501000</v>
      </c>
      <c r="N41" s="78">
        <v>450000</v>
      </c>
      <c r="O41" s="14"/>
    </row>
    <row r="42" spans="2:15" x14ac:dyDescent="0.2">
      <c r="B42" s="80"/>
      <c r="C42" s="80"/>
      <c r="D42" s="232" t="s">
        <v>44</v>
      </c>
      <c r="E42" s="233"/>
      <c r="F42" s="234"/>
      <c r="G42" s="79">
        <v>3000</v>
      </c>
      <c r="H42" s="79">
        <v>0</v>
      </c>
      <c r="I42" s="78">
        <v>0</v>
      </c>
      <c r="J42" s="78">
        <v>0</v>
      </c>
      <c r="K42" s="78">
        <v>0</v>
      </c>
      <c r="L42" s="78">
        <v>0</v>
      </c>
      <c r="M42" s="78">
        <v>0</v>
      </c>
      <c r="N42" s="78">
        <v>0</v>
      </c>
      <c r="O42" s="14"/>
    </row>
    <row r="43" spans="2:15" x14ac:dyDescent="0.2">
      <c r="B43" s="80"/>
      <c r="C43" s="80"/>
      <c r="D43" s="232" t="s">
        <v>45</v>
      </c>
      <c r="E43" s="233"/>
      <c r="F43" s="234"/>
      <c r="G43" s="79">
        <v>35063</v>
      </c>
      <c r="H43" s="79">
        <v>24312</v>
      </c>
      <c r="I43" s="78">
        <v>27130</v>
      </c>
      <c r="J43" s="78">
        <v>28106</v>
      </c>
      <c r="K43" s="78">
        <v>32799</v>
      </c>
      <c r="L43" s="78">
        <v>25000</v>
      </c>
      <c r="M43" s="78">
        <v>23641</v>
      </c>
      <c r="N43" s="78">
        <v>25000</v>
      </c>
      <c r="O43" s="14"/>
    </row>
    <row r="44" spans="2:15" x14ac:dyDescent="0.2">
      <c r="B44" s="80"/>
      <c r="C44" s="80"/>
      <c r="D44" s="232" t="s">
        <v>46</v>
      </c>
      <c r="E44" s="233"/>
      <c r="F44" s="234"/>
      <c r="G44" s="79">
        <v>0</v>
      </c>
      <c r="H44" s="79">
        <v>0</v>
      </c>
      <c r="I44" s="78">
        <v>0</v>
      </c>
      <c r="J44" s="78">
        <v>0</v>
      </c>
      <c r="K44" s="78">
        <v>0</v>
      </c>
      <c r="L44" s="78">
        <v>1618518</v>
      </c>
      <c r="M44" s="78">
        <v>1600000</v>
      </c>
      <c r="N44" s="78">
        <v>1618518</v>
      </c>
      <c r="O44" s="14"/>
    </row>
    <row r="45" spans="2:15" x14ac:dyDescent="0.2">
      <c r="B45" s="80"/>
      <c r="C45" s="80"/>
      <c r="D45" s="232" t="s">
        <v>47</v>
      </c>
      <c r="E45" s="233"/>
      <c r="F45" s="234"/>
      <c r="G45" s="79">
        <v>0</v>
      </c>
      <c r="H45" s="79">
        <v>0</v>
      </c>
      <c r="I45" s="78">
        <v>0</v>
      </c>
      <c r="J45" s="78">
        <v>0</v>
      </c>
      <c r="K45" s="78">
        <v>0</v>
      </c>
      <c r="L45" s="78">
        <v>1823683</v>
      </c>
      <c r="M45" s="78">
        <v>1823680</v>
      </c>
      <c r="N45" s="78">
        <v>1823683</v>
      </c>
      <c r="O45" s="14"/>
    </row>
    <row r="46" spans="2:15" x14ac:dyDescent="0.2">
      <c r="B46" s="80"/>
      <c r="C46" s="80"/>
      <c r="D46" s="232" t="s">
        <v>48</v>
      </c>
      <c r="E46" s="233"/>
      <c r="F46" s="234"/>
      <c r="G46" s="79">
        <v>0</v>
      </c>
      <c r="H46" s="79">
        <v>0</v>
      </c>
      <c r="I46" s="78">
        <v>0</v>
      </c>
      <c r="J46" s="78">
        <v>0</v>
      </c>
      <c r="K46" s="78">
        <v>0</v>
      </c>
      <c r="L46" s="78">
        <v>2557799</v>
      </c>
      <c r="M46" s="78">
        <v>2557799</v>
      </c>
      <c r="N46" s="78">
        <v>2557799</v>
      </c>
      <c r="O46" s="14"/>
    </row>
    <row r="47" spans="2:15" x14ac:dyDescent="0.2">
      <c r="B47" s="80"/>
      <c r="C47" s="80"/>
      <c r="D47" s="232" t="s">
        <v>49</v>
      </c>
      <c r="E47" s="233"/>
      <c r="F47" s="234"/>
      <c r="G47" s="79">
        <v>7558</v>
      </c>
      <c r="H47" s="79">
        <v>22524</v>
      </c>
      <c r="I47" s="78">
        <v>10721</v>
      </c>
      <c r="J47" s="78">
        <v>2120</v>
      </c>
      <c r="K47" s="78">
        <v>19447.34</v>
      </c>
      <c r="L47" s="78">
        <v>15000</v>
      </c>
      <c r="M47" s="78">
        <v>160000</v>
      </c>
      <c r="N47" s="78">
        <v>15000</v>
      </c>
      <c r="O47" s="14"/>
    </row>
    <row r="48" spans="2:15" x14ac:dyDescent="0.2">
      <c r="B48" s="80"/>
      <c r="C48" s="80"/>
      <c r="D48" s="232" t="s">
        <v>50</v>
      </c>
      <c r="E48" s="233"/>
      <c r="F48" s="234"/>
      <c r="G48" s="79">
        <v>2326448</v>
      </c>
      <c r="H48" s="79">
        <v>2317518</v>
      </c>
      <c r="I48" s="78">
        <v>2735617</v>
      </c>
      <c r="J48" s="78">
        <v>2424345.4</v>
      </c>
      <c r="K48" s="78">
        <v>2561106.7400000002</v>
      </c>
      <c r="L48" s="78">
        <v>3750000</v>
      </c>
      <c r="M48" s="78">
        <v>2224335</v>
      </c>
      <c r="N48" s="78">
        <v>2750000</v>
      </c>
      <c r="O48" s="14"/>
    </row>
    <row r="49" spans="2:15" x14ac:dyDescent="0.2">
      <c r="B49" s="80"/>
      <c r="C49" s="80"/>
      <c r="D49" s="232" t="s">
        <v>51</v>
      </c>
      <c r="E49" s="233"/>
      <c r="F49" s="234"/>
      <c r="G49" s="79">
        <v>2396</v>
      </c>
      <c r="H49" s="79">
        <v>1707</v>
      </c>
      <c r="I49" s="78">
        <v>3361</v>
      </c>
      <c r="J49" s="78">
        <v>3456.57</v>
      </c>
      <c r="K49" s="78">
        <v>30</v>
      </c>
      <c r="L49" s="78">
        <v>2500</v>
      </c>
      <c r="M49" s="78">
        <v>800</v>
      </c>
      <c r="N49" s="78">
        <v>2500</v>
      </c>
      <c r="O49" s="14"/>
    </row>
    <row r="50" spans="2:15" x14ac:dyDescent="0.2">
      <c r="B50" s="80"/>
      <c r="C50" s="80"/>
      <c r="D50" s="232" t="s">
        <v>52</v>
      </c>
      <c r="E50" s="233"/>
      <c r="F50" s="234"/>
      <c r="G50" s="79">
        <v>210</v>
      </c>
      <c r="H50" s="79">
        <v>60</v>
      </c>
      <c r="I50" s="78">
        <v>140</v>
      </c>
      <c r="J50" s="78">
        <v>346.32</v>
      </c>
      <c r="K50" s="78">
        <v>1528</v>
      </c>
      <c r="L50" s="78">
        <v>2000</v>
      </c>
      <c r="M50" s="78">
        <v>2000</v>
      </c>
      <c r="N50" s="78">
        <v>2000</v>
      </c>
      <c r="O50" s="14"/>
    </row>
    <row r="51" spans="2:15" x14ac:dyDescent="0.2">
      <c r="B51" s="80"/>
      <c r="C51" s="80"/>
      <c r="D51" s="232" t="s">
        <v>53</v>
      </c>
      <c r="E51" s="233"/>
      <c r="F51" s="234"/>
      <c r="G51" s="79">
        <v>86817</v>
      </c>
      <c r="H51" s="79">
        <v>9539782</v>
      </c>
      <c r="I51" s="78">
        <v>184425</v>
      </c>
      <c r="J51" s="78">
        <v>167617</v>
      </c>
      <c r="K51" s="78">
        <v>224954</v>
      </c>
      <c r="L51" s="78">
        <v>175000</v>
      </c>
      <c r="M51" s="78">
        <v>0</v>
      </c>
      <c r="N51" s="78">
        <v>175000</v>
      </c>
      <c r="O51" s="14"/>
    </row>
    <row r="52" spans="2:15" x14ac:dyDescent="0.2">
      <c r="B52" s="80"/>
      <c r="C52" s="235" t="s">
        <v>54</v>
      </c>
      <c r="D52" s="236"/>
      <c r="E52" s="236"/>
      <c r="F52" s="237"/>
      <c r="G52" s="82">
        <f>G53</f>
        <v>41229</v>
      </c>
      <c r="H52" s="82">
        <f t="shared" ref="H52:N52" si="13">H53</f>
        <v>53093</v>
      </c>
      <c r="I52" s="82">
        <f t="shared" si="13"/>
        <v>53085</v>
      </c>
      <c r="J52" s="82">
        <f t="shared" si="13"/>
        <v>49355.33</v>
      </c>
      <c r="K52" s="82">
        <f t="shared" si="13"/>
        <v>57139</v>
      </c>
      <c r="L52" s="82">
        <f t="shared" si="13"/>
        <v>60000</v>
      </c>
      <c r="M52" s="82">
        <f t="shared" si="13"/>
        <v>54336</v>
      </c>
      <c r="N52" s="82">
        <f t="shared" si="13"/>
        <v>60000</v>
      </c>
      <c r="O52" s="23"/>
    </row>
    <row r="53" spans="2:15" x14ac:dyDescent="0.2">
      <c r="B53" s="80"/>
      <c r="C53" s="80"/>
      <c r="D53" s="255" t="s">
        <v>55</v>
      </c>
      <c r="E53" s="256"/>
      <c r="F53" s="257"/>
      <c r="G53" s="92">
        <v>41229</v>
      </c>
      <c r="H53" s="92">
        <v>53093</v>
      </c>
      <c r="I53" s="88">
        <v>53085</v>
      </c>
      <c r="J53" s="88">
        <v>49355.33</v>
      </c>
      <c r="K53" s="88">
        <v>57139</v>
      </c>
      <c r="L53" s="88">
        <v>60000</v>
      </c>
      <c r="M53" s="78">
        <v>54336</v>
      </c>
      <c r="N53" s="88">
        <v>60000</v>
      </c>
      <c r="O53" s="23"/>
    </row>
    <row r="54" spans="2:15" x14ac:dyDescent="0.2">
      <c r="B54" s="80"/>
      <c r="C54" s="235" t="s">
        <v>56</v>
      </c>
      <c r="D54" s="236"/>
      <c r="E54" s="236"/>
      <c r="F54" s="237"/>
      <c r="G54" s="89">
        <f>SUM(G55:G69)</f>
        <v>2315608</v>
      </c>
      <c r="H54" s="89">
        <f t="shared" ref="H54:N54" si="14">SUM(H55:H69)</f>
        <v>3454425</v>
      </c>
      <c r="I54" s="89">
        <f t="shared" si="14"/>
        <v>3381309</v>
      </c>
      <c r="J54" s="89">
        <f t="shared" si="14"/>
        <v>3585101.5449999999</v>
      </c>
      <c r="K54" s="89">
        <f t="shared" si="14"/>
        <v>4813130.83</v>
      </c>
      <c r="L54" s="89">
        <f t="shared" si="14"/>
        <v>4748000</v>
      </c>
      <c r="M54" s="89">
        <f t="shared" si="14"/>
        <v>5304407</v>
      </c>
      <c r="N54" s="89">
        <f t="shared" si="14"/>
        <v>5405500</v>
      </c>
      <c r="O54" s="23"/>
    </row>
    <row r="55" spans="2:15" x14ac:dyDescent="0.2">
      <c r="B55" s="80"/>
      <c r="C55" s="80"/>
      <c r="D55" s="232" t="s">
        <v>57</v>
      </c>
      <c r="E55" s="233"/>
      <c r="F55" s="234"/>
      <c r="G55" s="79">
        <v>825</v>
      </c>
      <c r="H55" s="79">
        <v>250</v>
      </c>
      <c r="I55" s="88">
        <v>245</v>
      </c>
      <c r="J55" s="88">
        <v>0</v>
      </c>
      <c r="K55" s="88">
        <v>0</v>
      </c>
      <c r="L55" s="88">
        <v>0</v>
      </c>
      <c r="M55" s="78">
        <v>0</v>
      </c>
      <c r="N55" s="88">
        <v>0</v>
      </c>
      <c r="O55" s="23"/>
    </row>
    <row r="56" spans="2:15" x14ac:dyDescent="0.2">
      <c r="B56" s="80"/>
      <c r="C56" s="80"/>
      <c r="D56" s="232" t="s">
        <v>58</v>
      </c>
      <c r="E56" s="233"/>
      <c r="F56" s="234"/>
      <c r="G56" s="79">
        <v>25040</v>
      </c>
      <c r="H56" s="79">
        <v>22183</v>
      </c>
      <c r="I56" s="78">
        <v>76692</v>
      </c>
      <c r="J56" s="78">
        <v>84218.45</v>
      </c>
      <c r="K56" s="78">
        <v>101825.42</v>
      </c>
      <c r="L56" s="78">
        <v>100000</v>
      </c>
      <c r="M56" s="78">
        <v>104605</v>
      </c>
      <c r="N56" s="78">
        <v>110000</v>
      </c>
      <c r="O56" s="14"/>
    </row>
    <row r="57" spans="2:15" x14ac:dyDescent="0.2">
      <c r="B57" s="80"/>
      <c r="C57" s="80"/>
      <c r="D57" s="232" t="s">
        <v>59</v>
      </c>
      <c r="E57" s="233"/>
      <c r="F57" s="234"/>
      <c r="G57" s="79">
        <v>0</v>
      </c>
      <c r="H57" s="79">
        <v>0</v>
      </c>
      <c r="I57" s="78">
        <v>228148</v>
      </c>
      <c r="J57" s="78">
        <v>113728.66499999999</v>
      </c>
      <c r="K57" s="78">
        <v>91318.66</v>
      </c>
      <c r="L57" s="78">
        <v>228000</v>
      </c>
      <c r="M57" s="78">
        <v>78983</v>
      </c>
      <c r="N57" s="78">
        <v>80000</v>
      </c>
      <c r="O57" s="14"/>
    </row>
    <row r="58" spans="2:15" x14ac:dyDescent="0.2">
      <c r="B58" s="80"/>
      <c r="C58" s="80"/>
      <c r="D58" s="232" t="s">
        <v>60</v>
      </c>
      <c r="E58" s="233"/>
      <c r="F58" s="234"/>
      <c r="G58" s="79">
        <v>0</v>
      </c>
      <c r="H58" s="79">
        <v>46005</v>
      </c>
      <c r="I58" s="78">
        <v>66221</v>
      </c>
      <c r="J58" s="78">
        <v>0</v>
      </c>
      <c r="K58" s="78">
        <v>121950.39999999999</v>
      </c>
      <c r="L58" s="78">
        <v>168000</v>
      </c>
      <c r="M58" s="78">
        <v>0</v>
      </c>
      <c r="N58" s="78">
        <v>250000</v>
      </c>
      <c r="O58" s="14"/>
    </row>
    <row r="59" spans="2:15" x14ac:dyDescent="0.2">
      <c r="B59" s="80"/>
      <c r="C59" s="80"/>
      <c r="D59" s="232" t="s">
        <v>61</v>
      </c>
      <c r="E59" s="233"/>
      <c r="F59" s="234"/>
      <c r="G59" s="79">
        <v>41500</v>
      </c>
      <c r="H59" s="79">
        <v>15700</v>
      </c>
      <c r="I59" s="78">
        <v>19900</v>
      </c>
      <c r="J59" s="78">
        <v>24600</v>
      </c>
      <c r="K59" s="78">
        <v>13700</v>
      </c>
      <c r="L59" s="78">
        <v>25000</v>
      </c>
      <c r="M59" s="78">
        <v>14464</v>
      </c>
      <c r="N59" s="78">
        <v>25000</v>
      </c>
      <c r="O59" s="14"/>
    </row>
    <row r="60" spans="2:15" x14ac:dyDescent="0.2">
      <c r="B60" s="80"/>
      <c r="C60" s="80"/>
      <c r="D60" s="232" t="s">
        <v>62</v>
      </c>
      <c r="E60" s="233"/>
      <c r="F60" s="234"/>
      <c r="G60" s="79">
        <v>246120</v>
      </c>
      <c r="H60" s="79">
        <v>295335</v>
      </c>
      <c r="I60" s="78">
        <v>209735</v>
      </c>
      <c r="J60" s="78">
        <v>145544.63</v>
      </c>
      <c r="K60" s="78">
        <v>172685.5</v>
      </c>
      <c r="L60" s="78">
        <v>225000</v>
      </c>
      <c r="M60" s="78">
        <v>160338</v>
      </c>
      <c r="N60" s="78">
        <v>225000</v>
      </c>
      <c r="O60" s="14"/>
    </row>
    <row r="61" spans="2:15" x14ac:dyDescent="0.2">
      <c r="B61" s="80"/>
      <c r="C61" s="80"/>
      <c r="D61" s="232" t="s">
        <v>63</v>
      </c>
      <c r="E61" s="233"/>
      <c r="F61" s="234"/>
      <c r="G61" s="79">
        <v>145800</v>
      </c>
      <c r="H61" s="79">
        <v>128453</v>
      </c>
      <c r="I61" s="78">
        <v>126435</v>
      </c>
      <c r="J61" s="78">
        <v>111770</v>
      </c>
      <c r="K61" s="78">
        <v>115550</v>
      </c>
      <c r="L61" s="78">
        <v>130000</v>
      </c>
      <c r="M61" s="78">
        <v>151097</v>
      </c>
      <c r="N61" s="78">
        <v>130000</v>
      </c>
      <c r="O61" s="14"/>
    </row>
    <row r="62" spans="2:15" x14ac:dyDescent="0.2">
      <c r="B62" s="80"/>
      <c r="C62" s="80"/>
      <c r="D62" s="232" t="s">
        <v>64</v>
      </c>
      <c r="E62" s="233"/>
      <c r="F62" s="234"/>
      <c r="G62" s="79">
        <v>55000</v>
      </c>
      <c r="H62" s="79">
        <v>0</v>
      </c>
      <c r="I62" s="78">
        <v>0</v>
      </c>
      <c r="J62" s="78">
        <v>0</v>
      </c>
      <c r="K62" s="78">
        <v>0</v>
      </c>
      <c r="L62" s="78">
        <v>0</v>
      </c>
      <c r="M62" s="78">
        <v>0</v>
      </c>
      <c r="N62" s="78">
        <v>0</v>
      </c>
      <c r="O62" s="14"/>
    </row>
    <row r="63" spans="2:15" x14ac:dyDescent="0.2">
      <c r="B63" s="80"/>
      <c r="C63" s="80"/>
      <c r="D63" s="232" t="s">
        <v>65</v>
      </c>
      <c r="E63" s="233"/>
      <c r="F63" s="234"/>
      <c r="G63" s="79">
        <v>1415787</v>
      </c>
      <c r="H63" s="79">
        <v>2469583</v>
      </c>
      <c r="I63" s="78">
        <v>2295805</v>
      </c>
      <c r="J63" s="78">
        <v>2206934.86</v>
      </c>
      <c r="K63" s="78">
        <v>3729368.6</v>
      </c>
      <c r="L63" s="78">
        <v>3500000</v>
      </c>
      <c r="M63" s="78">
        <v>4398420</v>
      </c>
      <c r="N63" s="78">
        <v>4250000</v>
      </c>
      <c r="O63" s="14"/>
    </row>
    <row r="64" spans="2:15" x14ac:dyDescent="0.2">
      <c r="B64" s="80"/>
      <c r="C64" s="80"/>
      <c r="D64" s="232" t="s">
        <v>66</v>
      </c>
      <c r="E64" s="233"/>
      <c r="F64" s="234"/>
      <c r="G64" s="79">
        <v>229173</v>
      </c>
      <c r="H64" s="79">
        <v>237241</v>
      </c>
      <c r="I64" s="78">
        <v>119915</v>
      </c>
      <c r="J64" s="78">
        <v>62390</v>
      </c>
      <c r="K64" s="78">
        <v>104805</v>
      </c>
      <c r="L64" s="78">
        <v>158500</v>
      </c>
      <c r="M64" s="78">
        <v>65000</v>
      </c>
      <c r="N64" s="78">
        <v>89000</v>
      </c>
      <c r="O64" s="14"/>
    </row>
    <row r="65" spans="2:15" x14ac:dyDescent="0.2">
      <c r="B65" s="80"/>
      <c r="C65" s="80"/>
      <c r="D65" s="232" t="s">
        <v>67</v>
      </c>
      <c r="E65" s="233"/>
      <c r="F65" s="234"/>
      <c r="G65" s="79">
        <v>1075</v>
      </c>
      <c r="H65" s="79">
        <v>1925</v>
      </c>
      <c r="I65" s="78">
        <v>1375</v>
      </c>
      <c r="J65" s="78">
        <v>25</v>
      </c>
      <c r="K65" s="78">
        <v>0</v>
      </c>
      <c r="L65" s="78">
        <v>500</v>
      </c>
      <c r="M65" s="78">
        <v>500</v>
      </c>
      <c r="N65" s="78">
        <v>500</v>
      </c>
      <c r="O65" s="14"/>
    </row>
    <row r="66" spans="2:15" x14ac:dyDescent="0.2">
      <c r="B66" s="80"/>
      <c r="C66" s="80"/>
      <c r="D66" s="232" t="s">
        <v>68</v>
      </c>
      <c r="E66" s="233"/>
      <c r="F66" s="234"/>
      <c r="G66" s="79">
        <v>43763</v>
      </c>
      <c r="H66" s="79">
        <v>34140</v>
      </c>
      <c r="I66" s="78">
        <v>22310</v>
      </c>
      <c r="J66" s="78">
        <v>17807</v>
      </c>
      <c r="K66" s="78">
        <v>36510</v>
      </c>
      <c r="L66" s="78">
        <v>35000</v>
      </c>
      <c r="M66" s="78">
        <v>37000</v>
      </c>
      <c r="N66" s="78">
        <v>35000</v>
      </c>
      <c r="O66" s="14"/>
    </row>
    <row r="67" spans="2:15" x14ac:dyDescent="0.2">
      <c r="B67" s="80"/>
      <c r="C67" s="80"/>
      <c r="D67" s="232" t="s">
        <v>69</v>
      </c>
      <c r="E67" s="233"/>
      <c r="F67" s="234"/>
      <c r="G67" s="79">
        <v>52825</v>
      </c>
      <c r="H67" s="79">
        <v>52725</v>
      </c>
      <c r="I67" s="78">
        <v>58675</v>
      </c>
      <c r="J67" s="78">
        <v>56700</v>
      </c>
      <c r="K67" s="78">
        <v>54680</v>
      </c>
      <c r="L67" s="78">
        <v>56000</v>
      </c>
      <c r="M67" s="78">
        <v>59000</v>
      </c>
      <c r="N67" s="78">
        <v>56000</v>
      </c>
      <c r="O67" s="14"/>
    </row>
    <row r="68" spans="2:15" x14ac:dyDescent="0.2">
      <c r="B68" s="80"/>
      <c r="C68" s="80"/>
      <c r="D68" s="232" t="s">
        <v>70</v>
      </c>
      <c r="E68" s="233"/>
      <c r="F68" s="234"/>
      <c r="G68" s="79">
        <v>11200</v>
      </c>
      <c r="H68" s="79">
        <v>87885</v>
      </c>
      <c r="I68" s="78">
        <v>46853</v>
      </c>
      <c r="J68" s="78">
        <v>660882.93999999994</v>
      </c>
      <c r="K68" s="78">
        <v>93237.25</v>
      </c>
      <c r="L68" s="78">
        <v>12000</v>
      </c>
      <c r="M68" s="78">
        <v>50000</v>
      </c>
      <c r="N68" s="78">
        <v>45000</v>
      </c>
      <c r="O68" s="14"/>
    </row>
    <row r="69" spans="2:15" x14ac:dyDescent="0.2">
      <c r="B69" s="80"/>
      <c r="C69" s="80"/>
      <c r="D69" s="232" t="s">
        <v>71</v>
      </c>
      <c r="E69" s="233"/>
      <c r="F69" s="234"/>
      <c r="G69" s="79">
        <v>47500</v>
      </c>
      <c r="H69" s="79">
        <v>63000</v>
      </c>
      <c r="I69" s="78">
        <v>109000</v>
      </c>
      <c r="J69" s="78">
        <v>100500</v>
      </c>
      <c r="K69" s="78">
        <v>177500</v>
      </c>
      <c r="L69" s="78">
        <v>110000</v>
      </c>
      <c r="M69" s="78">
        <v>185000</v>
      </c>
      <c r="N69" s="78">
        <v>110000</v>
      </c>
      <c r="O69" s="14"/>
    </row>
    <row r="70" spans="2:15" x14ac:dyDescent="0.2">
      <c r="B70" s="80"/>
      <c r="C70" s="235" t="s">
        <v>72</v>
      </c>
      <c r="D70" s="236"/>
      <c r="E70" s="236"/>
      <c r="F70" s="237"/>
      <c r="G70" s="87">
        <f>SUM(G71:G76)</f>
        <v>427538</v>
      </c>
      <c r="H70" s="87">
        <f t="shared" ref="H70:N70" si="15">SUM(H71:H76)</f>
        <v>941003</v>
      </c>
      <c r="I70" s="87">
        <f t="shared" si="15"/>
        <v>819700</v>
      </c>
      <c r="J70" s="87">
        <f t="shared" si="15"/>
        <v>719884.21</v>
      </c>
      <c r="K70" s="87">
        <f t="shared" si="15"/>
        <v>792539.6</v>
      </c>
      <c r="L70" s="87">
        <f t="shared" si="15"/>
        <v>755000</v>
      </c>
      <c r="M70" s="87">
        <f t="shared" si="15"/>
        <v>678065</v>
      </c>
      <c r="N70" s="87">
        <f t="shared" si="15"/>
        <v>790100</v>
      </c>
      <c r="O70" s="14"/>
    </row>
    <row r="71" spans="2:15" x14ac:dyDescent="0.2">
      <c r="B71" s="80"/>
      <c r="C71" s="80"/>
      <c r="D71" s="232" t="s">
        <v>73</v>
      </c>
      <c r="E71" s="233"/>
      <c r="F71" s="234"/>
      <c r="G71" s="79">
        <v>0</v>
      </c>
      <c r="H71" s="79">
        <v>39100</v>
      </c>
      <c r="I71" s="88">
        <v>42750</v>
      </c>
      <c r="J71" s="78">
        <v>0</v>
      </c>
      <c r="K71" s="88">
        <v>28159.46</v>
      </c>
      <c r="L71" s="88">
        <v>0</v>
      </c>
      <c r="M71" s="78">
        <v>0</v>
      </c>
      <c r="N71" s="88">
        <v>0</v>
      </c>
      <c r="O71" s="23"/>
    </row>
    <row r="72" spans="2:15" x14ac:dyDescent="0.2">
      <c r="B72" s="80"/>
      <c r="C72" s="80"/>
      <c r="D72" s="232" t="s">
        <v>74</v>
      </c>
      <c r="E72" s="233"/>
      <c r="F72" s="234"/>
      <c r="G72" s="79">
        <v>353144</v>
      </c>
      <c r="H72" s="79">
        <v>626846</v>
      </c>
      <c r="I72" s="78">
        <v>537081</v>
      </c>
      <c r="J72" s="78">
        <v>533115.21</v>
      </c>
      <c r="K72" s="78">
        <v>534084.31000000006</v>
      </c>
      <c r="L72" s="78">
        <v>550000</v>
      </c>
      <c r="M72" s="78">
        <v>484600</v>
      </c>
      <c r="N72" s="78">
        <v>550100</v>
      </c>
      <c r="O72" s="14"/>
    </row>
    <row r="73" spans="2:15" x14ac:dyDescent="0.2">
      <c r="B73" s="80"/>
      <c r="C73" s="80"/>
      <c r="D73" s="232" t="s">
        <v>75</v>
      </c>
      <c r="E73" s="233"/>
      <c r="F73" s="234"/>
      <c r="G73" s="79">
        <v>72927</v>
      </c>
      <c r="H73" s="79">
        <v>251748</v>
      </c>
      <c r="I73" s="78">
        <v>213113</v>
      </c>
      <c r="J73" s="78">
        <v>186769</v>
      </c>
      <c r="K73" s="78">
        <v>201219</v>
      </c>
      <c r="L73" s="78">
        <v>200000</v>
      </c>
      <c r="M73" s="78">
        <v>193465</v>
      </c>
      <c r="N73" s="78">
        <v>240000</v>
      </c>
      <c r="O73" s="14"/>
    </row>
    <row r="74" spans="2:15" x14ac:dyDescent="0.2">
      <c r="B74" s="80"/>
      <c r="C74" s="80"/>
      <c r="D74" s="232" t="s">
        <v>76</v>
      </c>
      <c r="E74" s="233"/>
      <c r="F74" s="234"/>
      <c r="G74" s="79">
        <v>0</v>
      </c>
      <c r="H74" s="79">
        <v>0</v>
      </c>
      <c r="I74" s="78">
        <v>3300</v>
      </c>
      <c r="J74" s="78">
        <v>0</v>
      </c>
      <c r="K74" s="78">
        <v>2625</v>
      </c>
      <c r="L74" s="78">
        <v>5000</v>
      </c>
      <c r="M74" s="78">
        <v>0</v>
      </c>
      <c r="N74" s="78">
        <v>0</v>
      </c>
      <c r="O74" s="14"/>
    </row>
    <row r="75" spans="2:15" x14ac:dyDescent="0.2">
      <c r="B75" s="80"/>
      <c r="C75" s="80"/>
      <c r="D75" s="232" t="s">
        <v>77</v>
      </c>
      <c r="E75" s="233"/>
      <c r="F75" s="234"/>
      <c r="G75" s="79">
        <v>0</v>
      </c>
      <c r="H75" s="79">
        <v>20826</v>
      </c>
      <c r="I75" s="78">
        <v>23356</v>
      </c>
      <c r="J75" s="78">
        <v>0</v>
      </c>
      <c r="K75" s="78">
        <v>26451.83</v>
      </c>
      <c r="L75" s="78">
        <v>0</v>
      </c>
      <c r="M75" s="78">
        <v>0</v>
      </c>
      <c r="N75" s="78">
        <v>0</v>
      </c>
      <c r="O75" s="14"/>
    </row>
    <row r="76" spans="2:15" x14ac:dyDescent="0.2">
      <c r="B76" s="80"/>
      <c r="C76" s="80"/>
      <c r="D76" s="232" t="s">
        <v>78</v>
      </c>
      <c r="E76" s="233"/>
      <c r="F76" s="234"/>
      <c r="G76" s="79">
        <v>1467</v>
      </c>
      <c r="H76" s="79">
        <v>2483</v>
      </c>
      <c r="I76" s="78">
        <v>100</v>
      </c>
      <c r="J76" s="78">
        <v>0</v>
      </c>
      <c r="K76" s="78">
        <v>0</v>
      </c>
      <c r="L76" s="78">
        <v>0</v>
      </c>
      <c r="M76" s="78">
        <v>0</v>
      </c>
      <c r="N76" s="78">
        <v>0</v>
      </c>
      <c r="O76" s="14"/>
    </row>
    <row r="77" spans="2:15" x14ac:dyDescent="0.2">
      <c r="B77" s="80"/>
      <c r="C77" s="235" t="s">
        <v>79</v>
      </c>
      <c r="D77" s="236"/>
      <c r="E77" s="236"/>
      <c r="F77" s="237"/>
      <c r="G77" s="89">
        <f>SUM(G78:G81)</f>
        <v>38071</v>
      </c>
      <c r="H77" s="89">
        <f t="shared" ref="H77:N77" si="16">SUM(H78:H81)</f>
        <v>180039</v>
      </c>
      <c r="I77" s="89">
        <f t="shared" si="16"/>
        <v>83673</v>
      </c>
      <c r="J77" s="89">
        <f t="shared" si="16"/>
        <v>737038.53</v>
      </c>
      <c r="K77" s="89">
        <f t="shared" si="16"/>
        <v>284872.13</v>
      </c>
      <c r="L77" s="89">
        <f t="shared" si="16"/>
        <v>406000</v>
      </c>
      <c r="M77" s="89">
        <f t="shared" si="16"/>
        <v>361115</v>
      </c>
      <c r="N77" s="89">
        <f t="shared" si="16"/>
        <v>76800</v>
      </c>
      <c r="O77" s="23"/>
    </row>
    <row r="78" spans="2:15" x14ac:dyDescent="0.2">
      <c r="B78" s="80"/>
      <c r="C78" s="80"/>
      <c r="D78" s="232" t="s">
        <v>80</v>
      </c>
      <c r="E78" s="233"/>
      <c r="F78" s="234"/>
      <c r="G78" s="79">
        <v>12821</v>
      </c>
      <c r="H78" s="79">
        <v>158864</v>
      </c>
      <c r="I78" s="88">
        <v>9517</v>
      </c>
      <c r="J78" s="88">
        <v>17827.75</v>
      </c>
      <c r="K78" s="88">
        <v>25699.91</v>
      </c>
      <c r="L78" s="88">
        <v>40000</v>
      </c>
      <c r="M78" s="78">
        <v>36949</v>
      </c>
      <c r="N78" s="88">
        <v>40000</v>
      </c>
      <c r="O78" s="14"/>
    </row>
    <row r="79" spans="2:15" x14ac:dyDescent="0.2">
      <c r="B79" s="80"/>
      <c r="C79" s="80"/>
      <c r="D79" s="232" t="s">
        <v>81</v>
      </c>
      <c r="E79" s="233"/>
      <c r="F79" s="234"/>
      <c r="G79" s="79">
        <v>7670</v>
      </c>
      <c r="H79" s="79">
        <v>8100</v>
      </c>
      <c r="I79" s="78">
        <v>7250</v>
      </c>
      <c r="J79" s="78">
        <v>6770</v>
      </c>
      <c r="K79" s="78">
        <v>900</v>
      </c>
      <c r="L79" s="78">
        <v>5000</v>
      </c>
      <c r="M79" s="78">
        <v>17000</v>
      </c>
      <c r="N79" s="78">
        <v>25800</v>
      </c>
      <c r="O79" s="14"/>
    </row>
    <row r="80" spans="2:15" x14ac:dyDescent="0.2">
      <c r="B80" s="80"/>
      <c r="C80" s="80"/>
      <c r="D80" s="232" t="s">
        <v>82</v>
      </c>
      <c r="E80" s="233"/>
      <c r="F80" s="234"/>
      <c r="G80" s="79">
        <v>17580</v>
      </c>
      <c r="H80" s="79">
        <v>13075</v>
      </c>
      <c r="I80" s="78">
        <v>11650</v>
      </c>
      <c r="J80" s="78">
        <v>63975</v>
      </c>
      <c r="K80" s="78">
        <v>30050</v>
      </c>
      <c r="L80" s="78">
        <v>11000</v>
      </c>
      <c r="M80" s="78">
        <v>10894</v>
      </c>
      <c r="N80" s="78">
        <v>11000</v>
      </c>
      <c r="O80" s="14"/>
    </row>
    <row r="81" spans="2:15" x14ac:dyDescent="0.2">
      <c r="B81" s="80"/>
      <c r="C81" s="90"/>
      <c r="D81" s="246" t="s">
        <v>83</v>
      </c>
      <c r="E81" s="247"/>
      <c r="F81" s="248"/>
      <c r="G81" s="79">
        <v>0</v>
      </c>
      <c r="H81" s="79">
        <v>0</v>
      </c>
      <c r="I81" s="78">
        <v>55256</v>
      </c>
      <c r="J81" s="78">
        <v>648465.78</v>
      </c>
      <c r="K81" s="78">
        <v>228222.22</v>
      </c>
      <c r="L81" s="78">
        <v>350000</v>
      </c>
      <c r="M81" s="78">
        <v>296272</v>
      </c>
      <c r="N81" s="78">
        <v>0</v>
      </c>
      <c r="O81" s="14"/>
    </row>
    <row r="82" spans="2:15" x14ac:dyDescent="0.2">
      <c r="B82" s="80"/>
      <c r="C82" s="252" t="s">
        <v>84</v>
      </c>
      <c r="D82" s="253"/>
      <c r="E82" s="253"/>
      <c r="F82" s="254"/>
      <c r="G82" s="89">
        <f>SUM(G83:G90)</f>
        <v>1177799</v>
      </c>
      <c r="H82" s="89">
        <f t="shared" ref="H82:N82" si="17">SUM(H83:H90)</f>
        <v>1530952</v>
      </c>
      <c r="I82" s="89">
        <f t="shared" si="17"/>
        <v>1542456</v>
      </c>
      <c r="J82" s="89">
        <f t="shared" si="17"/>
        <v>3266812.3</v>
      </c>
      <c r="K82" s="89">
        <f t="shared" si="17"/>
        <v>3091120.46</v>
      </c>
      <c r="L82" s="89">
        <f t="shared" si="17"/>
        <v>2162500</v>
      </c>
      <c r="M82" s="89">
        <f t="shared" si="17"/>
        <v>926184</v>
      </c>
      <c r="N82" s="89">
        <f t="shared" si="17"/>
        <v>2212500</v>
      </c>
      <c r="O82" s="23"/>
    </row>
    <row r="83" spans="2:15" x14ac:dyDescent="0.2">
      <c r="B83" s="80"/>
      <c r="C83" s="90"/>
      <c r="D83" s="246" t="s">
        <v>85</v>
      </c>
      <c r="E83" s="247"/>
      <c r="F83" s="248"/>
      <c r="G83" s="79">
        <v>43177</v>
      </c>
      <c r="H83" s="79">
        <v>24124</v>
      </c>
      <c r="I83" s="88">
        <v>27553</v>
      </c>
      <c r="J83" s="88">
        <v>6407.55</v>
      </c>
      <c r="K83" s="88">
        <v>7103</v>
      </c>
      <c r="L83" s="88">
        <v>25000</v>
      </c>
      <c r="M83" s="78">
        <v>8284</v>
      </c>
      <c r="N83" s="88">
        <v>10000</v>
      </c>
      <c r="O83" s="23"/>
    </row>
    <row r="84" spans="2:15" x14ac:dyDescent="0.2">
      <c r="B84" s="80"/>
      <c r="C84" s="90"/>
      <c r="D84" s="246" t="s">
        <v>86</v>
      </c>
      <c r="E84" s="247"/>
      <c r="F84" s="248"/>
      <c r="G84" s="79">
        <v>8173</v>
      </c>
      <c r="H84" s="79">
        <v>43055</v>
      </c>
      <c r="I84" s="78">
        <v>0</v>
      </c>
      <c r="J84" s="88">
        <v>0</v>
      </c>
      <c r="K84" s="78">
        <v>0</v>
      </c>
      <c r="L84" s="78">
        <v>0</v>
      </c>
      <c r="M84" s="78">
        <v>0</v>
      </c>
      <c r="N84" s="78">
        <v>0</v>
      </c>
      <c r="O84" s="14"/>
    </row>
    <row r="85" spans="2:15" x14ac:dyDescent="0.2">
      <c r="B85" s="80"/>
      <c r="C85" s="90"/>
      <c r="D85" s="246" t="s">
        <v>87</v>
      </c>
      <c r="E85" s="247"/>
      <c r="F85" s="248"/>
      <c r="G85" s="79">
        <v>2940</v>
      </c>
      <c r="H85" s="79">
        <v>7491</v>
      </c>
      <c r="I85" s="78">
        <v>2165</v>
      </c>
      <c r="J85" s="88">
        <v>0</v>
      </c>
      <c r="K85" s="78">
        <v>1151</v>
      </c>
      <c r="L85" s="78">
        <v>2500</v>
      </c>
      <c r="M85" s="78">
        <v>2900</v>
      </c>
      <c r="N85" s="78">
        <v>2500</v>
      </c>
      <c r="O85" s="14"/>
    </row>
    <row r="86" spans="2:15" x14ac:dyDescent="0.2">
      <c r="B86" s="80"/>
      <c r="C86" s="90"/>
      <c r="D86" s="246" t="s">
        <v>88</v>
      </c>
      <c r="E86" s="247"/>
      <c r="F86" s="248"/>
      <c r="G86" s="79">
        <v>22080</v>
      </c>
      <c r="H86" s="79">
        <v>101970</v>
      </c>
      <c r="I86" s="78">
        <v>95850</v>
      </c>
      <c r="J86" s="78">
        <v>77360</v>
      </c>
      <c r="K86" s="78">
        <v>107310</v>
      </c>
      <c r="L86" s="78">
        <v>85000</v>
      </c>
      <c r="M86" s="78">
        <v>90000</v>
      </c>
      <c r="N86" s="78">
        <v>85000</v>
      </c>
      <c r="O86" s="14"/>
    </row>
    <row r="87" spans="2:15" x14ac:dyDescent="0.2">
      <c r="B87" s="80"/>
      <c r="C87" s="90"/>
      <c r="D87" s="246" t="s">
        <v>89</v>
      </c>
      <c r="E87" s="247"/>
      <c r="F87" s="248"/>
      <c r="G87" s="79">
        <v>949330</v>
      </c>
      <c r="H87" s="79">
        <v>1292035</v>
      </c>
      <c r="I87" s="78">
        <v>1411757</v>
      </c>
      <c r="J87" s="78">
        <v>3024534.48</v>
      </c>
      <c r="K87" s="78">
        <v>2858860</v>
      </c>
      <c r="L87" s="78">
        <v>2000000</v>
      </c>
      <c r="M87" s="78">
        <v>700000</v>
      </c>
      <c r="N87" s="78">
        <v>2000000</v>
      </c>
      <c r="O87" s="14"/>
    </row>
    <row r="88" spans="2:15" x14ac:dyDescent="0.2">
      <c r="B88" s="80"/>
      <c r="C88" s="90"/>
      <c r="D88" s="246" t="s">
        <v>90</v>
      </c>
      <c r="E88" s="247"/>
      <c r="F88" s="248"/>
      <c r="G88" s="79">
        <v>3987</v>
      </c>
      <c r="H88" s="79">
        <v>0</v>
      </c>
      <c r="I88" s="78">
        <v>0</v>
      </c>
      <c r="J88" s="78">
        <v>0</v>
      </c>
      <c r="K88" s="78">
        <v>0</v>
      </c>
      <c r="L88" s="78">
        <v>0</v>
      </c>
      <c r="M88" s="78">
        <v>0</v>
      </c>
      <c r="N88" s="78">
        <v>0</v>
      </c>
      <c r="O88" s="14"/>
    </row>
    <row r="89" spans="2:15" x14ac:dyDescent="0.2">
      <c r="B89" s="80"/>
      <c r="C89" s="90"/>
      <c r="D89" s="246" t="s">
        <v>91</v>
      </c>
      <c r="E89" s="247"/>
      <c r="F89" s="248"/>
      <c r="G89" s="79">
        <v>147142</v>
      </c>
      <c r="H89" s="79">
        <v>61302</v>
      </c>
      <c r="I89" s="78">
        <v>0</v>
      </c>
      <c r="J89" s="78">
        <v>158510.26999999999</v>
      </c>
      <c r="K89" s="78">
        <v>116696.46</v>
      </c>
      <c r="L89" s="78">
        <v>50000</v>
      </c>
      <c r="M89" s="78">
        <v>125000</v>
      </c>
      <c r="N89" s="78">
        <v>115000</v>
      </c>
      <c r="O89" s="14"/>
    </row>
    <row r="90" spans="2:15" x14ac:dyDescent="0.2">
      <c r="B90" s="80"/>
      <c r="C90" s="90"/>
      <c r="D90" s="246" t="s">
        <v>92</v>
      </c>
      <c r="E90" s="247"/>
      <c r="F90" s="248"/>
      <c r="G90" s="79">
        <v>970</v>
      </c>
      <c r="H90" s="79">
        <v>975</v>
      </c>
      <c r="I90" s="78">
        <v>5131</v>
      </c>
      <c r="J90" s="78">
        <v>0</v>
      </c>
      <c r="K90" s="78">
        <v>0</v>
      </c>
      <c r="L90" s="78">
        <v>0</v>
      </c>
      <c r="M90" s="78">
        <v>0</v>
      </c>
      <c r="N90" s="78">
        <v>0</v>
      </c>
      <c r="O90" s="14"/>
    </row>
    <row r="91" spans="2:15" x14ac:dyDescent="0.2">
      <c r="B91" s="80"/>
      <c r="C91" s="252" t="s">
        <v>93</v>
      </c>
      <c r="D91" s="253"/>
      <c r="E91" s="253"/>
      <c r="F91" s="254"/>
      <c r="G91" s="89">
        <f>SUM(G92:G93)</f>
        <v>325732</v>
      </c>
      <c r="H91" s="89">
        <f t="shared" ref="H91:K91" si="18">SUM(H92:H93)</f>
        <v>334433</v>
      </c>
      <c r="I91" s="89">
        <f t="shared" si="18"/>
        <v>480514</v>
      </c>
      <c r="J91" s="89">
        <f t="shared" si="18"/>
        <v>222909.2</v>
      </c>
      <c r="K91" s="89">
        <f t="shared" si="18"/>
        <v>207782.36</v>
      </c>
      <c r="L91" s="89">
        <f>SUM(L92:L93)</f>
        <v>350000</v>
      </c>
      <c r="M91" s="89">
        <f t="shared" ref="M91" si="19">SUM(M92:M93)</f>
        <v>303462</v>
      </c>
      <c r="N91" s="89">
        <f t="shared" ref="N91" si="20">SUM(N92:N93)</f>
        <v>350000</v>
      </c>
      <c r="O91" s="23"/>
    </row>
    <row r="92" spans="2:15" x14ac:dyDescent="0.2">
      <c r="B92" s="80"/>
      <c r="C92" s="90"/>
      <c r="D92" s="246" t="s">
        <v>94</v>
      </c>
      <c r="E92" s="247"/>
      <c r="F92" s="248"/>
      <c r="G92" s="79">
        <v>325732</v>
      </c>
      <c r="H92" s="79">
        <v>334433</v>
      </c>
      <c r="I92" s="88">
        <v>480514</v>
      </c>
      <c r="J92" s="88">
        <v>222909.2</v>
      </c>
      <c r="K92" s="88">
        <v>207782.36</v>
      </c>
      <c r="L92" s="88">
        <v>350000</v>
      </c>
      <c r="M92" s="78">
        <v>303462</v>
      </c>
      <c r="N92" s="88">
        <v>350000</v>
      </c>
      <c r="O92" s="23"/>
    </row>
    <row r="93" spans="2:15" x14ac:dyDescent="0.2">
      <c r="B93" s="80"/>
      <c r="C93" s="107"/>
      <c r="D93" s="246" t="s">
        <v>95</v>
      </c>
      <c r="E93" s="247"/>
      <c r="F93" s="248"/>
      <c r="G93" s="79">
        <v>0</v>
      </c>
      <c r="H93" s="79">
        <v>0</v>
      </c>
      <c r="I93" s="88">
        <v>0</v>
      </c>
      <c r="J93" s="88">
        <v>0</v>
      </c>
      <c r="K93" s="88">
        <v>0</v>
      </c>
      <c r="L93" s="88">
        <v>0</v>
      </c>
      <c r="M93" s="78">
        <v>0</v>
      </c>
      <c r="N93" s="88">
        <v>0</v>
      </c>
      <c r="O93" s="23"/>
    </row>
    <row r="94" spans="2:15" x14ac:dyDescent="0.2">
      <c r="B94" s="80"/>
      <c r="C94" s="252" t="s">
        <v>96</v>
      </c>
      <c r="D94" s="253"/>
      <c r="E94" s="253"/>
      <c r="F94" s="254"/>
      <c r="G94" s="85">
        <f>SUM(G95:G117)</f>
        <v>4945220</v>
      </c>
      <c r="H94" s="85">
        <f t="shared" ref="H94:J94" si="21">SUM(H95:H117)</f>
        <v>5197410</v>
      </c>
      <c r="I94" s="85">
        <f t="shared" si="21"/>
        <v>6146734</v>
      </c>
      <c r="J94" s="85">
        <f t="shared" si="21"/>
        <v>6974097.3200000003</v>
      </c>
      <c r="K94" s="85">
        <f>SUM(K95:K117)</f>
        <v>7037718.0899999999</v>
      </c>
      <c r="L94" s="85">
        <f>SUM(L95:L117)</f>
        <v>6515030</v>
      </c>
      <c r="M94" s="85">
        <f>SUM(M95:M117)</f>
        <v>7352308</v>
      </c>
      <c r="N94" s="85">
        <f>SUM(N95:N117)</f>
        <v>6914194</v>
      </c>
      <c r="O94" s="91"/>
    </row>
    <row r="95" spans="2:15" x14ac:dyDescent="0.2">
      <c r="B95" s="80"/>
      <c r="C95" s="90"/>
      <c r="D95" s="246" t="s">
        <v>97</v>
      </c>
      <c r="E95" s="247"/>
      <c r="F95" s="248"/>
      <c r="G95" s="79">
        <v>0</v>
      </c>
      <c r="H95" s="79">
        <v>0</v>
      </c>
      <c r="I95" s="78">
        <v>303213</v>
      </c>
      <c r="J95" s="78">
        <v>329508.37</v>
      </c>
      <c r="K95" s="78">
        <v>457145.37</v>
      </c>
      <c r="L95" s="78">
        <v>312000</v>
      </c>
      <c r="M95" s="78">
        <v>485015</v>
      </c>
      <c r="N95" s="78">
        <v>500000</v>
      </c>
      <c r="O95" s="14"/>
    </row>
    <row r="96" spans="2:15" x14ac:dyDescent="0.2">
      <c r="B96" s="80"/>
      <c r="C96" s="90"/>
      <c r="D96" s="246" t="s">
        <v>98</v>
      </c>
      <c r="E96" s="247"/>
      <c r="F96" s="248"/>
      <c r="G96" s="79">
        <v>27702</v>
      </c>
      <c r="H96" s="79">
        <v>21313</v>
      </c>
      <c r="I96" s="78">
        <v>36230</v>
      </c>
      <c r="J96" s="78">
        <v>39241.440000000002</v>
      </c>
      <c r="K96" s="78">
        <v>24395.599999999999</v>
      </c>
      <c r="L96" s="78">
        <v>40000</v>
      </c>
      <c r="M96" s="78">
        <v>35000</v>
      </c>
      <c r="N96" s="78">
        <v>36000</v>
      </c>
      <c r="O96" s="14"/>
    </row>
    <row r="97" spans="2:15" x14ac:dyDescent="0.2">
      <c r="B97" s="80"/>
      <c r="C97" s="90"/>
      <c r="D97" s="246" t="s">
        <v>99</v>
      </c>
      <c r="E97" s="247"/>
      <c r="F97" s="248"/>
      <c r="G97" s="79">
        <v>690224</v>
      </c>
      <c r="H97" s="79">
        <v>209477</v>
      </c>
      <c r="I97" s="78">
        <v>723095</v>
      </c>
      <c r="J97" s="78">
        <v>876118.03</v>
      </c>
      <c r="K97" s="78">
        <v>899567.07</v>
      </c>
      <c r="L97" s="78">
        <v>800000</v>
      </c>
      <c r="M97" s="78">
        <v>985000</v>
      </c>
      <c r="N97" s="78">
        <v>950000</v>
      </c>
      <c r="O97" s="14"/>
    </row>
    <row r="98" spans="2:15" x14ac:dyDescent="0.2">
      <c r="B98" s="80"/>
      <c r="C98" s="90"/>
      <c r="D98" s="246" t="s">
        <v>100</v>
      </c>
      <c r="E98" s="247"/>
      <c r="F98" s="248"/>
      <c r="G98" s="79">
        <v>42835</v>
      </c>
      <c r="H98" s="79">
        <v>206202</v>
      </c>
      <c r="I98" s="78">
        <v>84211</v>
      </c>
      <c r="J98" s="78">
        <v>148908.01999999999</v>
      </c>
      <c r="K98" s="78">
        <v>105212.73</v>
      </c>
      <c r="L98" s="78">
        <v>80000</v>
      </c>
      <c r="M98" s="78">
        <v>730000</v>
      </c>
      <c r="N98" s="78">
        <v>550000</v>
      </c>
      <c r="O98" s="14"/>
    </row>
    <row r="99" spans="2:15" x14ac:dyDescent="0.2">
      <c r="B99" s="80"/>
      <c r="C99" s="90"/>
      <c r="D99" s="246" t="s">
        <v>101</v>
      </c>
      <c r="E99" s="247"/>
      <c r="F99" s="248"/>
      <c r="G99" s="79">
        <v>4750</v>
      </c>
      <c r="H99" s="79">
        <v>5700</v>
      </c>
      <c r="I99" s="78">
        <v>6300</v>
      </c>
      <c r="J99" s="78">
        <v>6650</v>
      </c>
      <c r="K99" s="78">
        <v>4475</v>
      </c>
      <c r="L99" s="78">
        <v>6500</v>
      </c>
      <c r="M99" s="78">
        <v>25000</v>
      </c>
      <c r="N99" s="78">
        <v>20000</v>
      </c>
      <c r="O99" s="14"/>
    </row>
    <row r="100" spans="2:15" x14ac:dyDescent="0.2">
      <c r="B100" s="80"/>
      <c r="C100" s="90"/>
      <c r="D100" s="246" t="s">
        <v>102</v>
      </c>
      <c r="E100" s="247"/>
      <c r="F100" s="248"/>
      <c r="G100" s="79">
        <v>-359</v>
      </c>
      <c r="H100" s="79">
        <v>3950</v>
      </c>
      <c r="I100" s="78">
        <v>4900</v>
      </c>
      <c r="J100" s="78">
        <v>3475</v>
      </c>
      <c r="K100" s="78">
        <v>4625</v>
      </c>
      <c r="L100" s="78">
        <v>5000</v>
      </c>
      <c r="M100" s="78">
        <v>4500</v>
      </c>
      <c r="N100" s="78">
        <v>5000</v>
      </c>
      <c r="O100" s="14"/>
    </row>
    <row r="101" spans="2:15" x14ac:dyDescent="0.2">
      <c r="B101" s="80"/>
      <c r="C101" s="90"/>
      <c r="D101" s="246" t="s">
        <v>103</v>
      </c>
      <c r="E101" s="247"/>
      <c r="F101" s="248"/>
      <c r="G101" s="79">
        <v>19850</v>
      </c>
      <c r="H101" s="79">
        <v>26846</v>
      </c>
      <c r="I101" s="78">
        <v>19905</v>
      </c>
      <c r="J101" s="78">
        <v>25035.39</v>
      </c>
      <c r="K101" s="78">
        <v>18165</v>
      </c>
      <c r="L101" s="78">
        <v>20000</v>
      </c>
      <c r="M101" s="78">
        <v>18000</v>
      </c>
      <c r="N101" s="78">
        <v>18500</v>
      </c>
      <c r="O101" s="14"/>
    </row>
    <row r="102" spans="2:15" x14ac:dyDescent="0.2">
      <c r="B102" s="80"/>
      <c r="C102" s="90"/>
      <c r="D102" s="246" t="s">
        <v>104</v>
      </c>
      <c r="E102" s="247"/>
      <c r="F102" s="248"/>
      <c r="G102" s="79">
        <v>548592</v>
      </c>
      <c r="H102" s="79">
        <v>617283</v>
      </c>
      <c r="I102" s="78">
        <v>636937</v>
      </c>
      <c r="J102" s="78">
        <v>660784.82999999996</v>
      </c>
      <c r="K102" s="78">
        <v>635897.5</v>
      </c>
      <c r="L102" s="78">
        <v>700000</v>
      </c>
      <c r="M102" s="78">
        <v>350000</v>
      </c>
      <c r="N102" s="78">
        <v>0</v>
      </c>
      <c r="O102" s="14"/>
    </row>
    <row r="103" spans="2:15" x14ac:dyDescent="0.2">
      <c r="B103" s="80"/>
      <c r="C103" s="90"/>
      <c r="D103" s="246" t="s">
        <v>105</v>
      </c>
      <c r="E103" s="247"/>
      <c r="F103" s="248"/>
      <c r="G103" s="79">
        <v>468701</v>
      </c>
      <c r="H103" s="79">
        <v>557604</v>
      </c>
      <c r="I103" s="78">
        <v>559961</v>
      </c>
      <c r="J103" s="78">
        <v>648049.44999999995</v>
      </c>
      <c r="K103" s="78">
        <v>731982.46</v>
      </c>
      <c r="L103" s="78">
        <v>650000</v>
      </c>
      <c r="M103" s="78">
        <v>725000</v>
      </c>
      <c r="N103" s="78">
        <v>735000</v>
      </c>
      <c r="O103" s="14"/>
    </row>
    <row r="104" spans="2:15" x14ac:dyDescent="0.2">
      <c r="B104" s="80"/>
      <c r="C104" s="90"/>
      <c r="D104" s="246" t="s">
        <v>106</v>
      </c>
      <c r="E104" s="247"/>
      <c r="F104" s="248"/>
      <c r="G104" s="79">
        <v>32951</v>
      </c>
      <c r="H104" s="79">
        <v>33333</v>
      </c>
      <c r="I104" s="78">
        <v>212500</v>
      </c>
      <c r="J104" s="78">
        <v>755574.99</v>
      </c>
      <c r="K104" s="78">
        <v>766661.87</v>
      </c>
      <c r="L104" s="78">
        <v>558330</v>
      </c>
      <c r="M104" s="78">
        <v>560000</v>
      </c>
      <c r="N104" s="78">
        <v>650000</v>
      </c>
      <c r="O104" s="14"/>
    </row>
    <row r="105" spans="2:15" x14ac:dyDescent="0.2">
      <c r="B105" s="80"/>
      <c r="C105" s="90"/>
      <c r="D105" s="246" t="s">
        <v>107</v>
      </c>
      <c r="E105" s="247"/>
      <c r="F105" s="248"/>
      <c r="G105" s="79">
        <v>513762</v>
      </c>
      <c r="H105" s="79">
        <v>432439</v>
      </c>
      <c r="I105" s="78">
        <v>448297</v>
      </c>
      <c r="J105" s="78">
        <v>455678.01</v>
      </c>
      <c r="K105" s="78">
        <v>574823.47</v>
      </c>
      <c r="L105" s="78">
        <v>555000</v>
      </c>
      <c r="M105" s="78">
        <v>612000</v>
      </c>
      <c r="N105" s="78">
        <v>600000</v>
      </c>
      <c r="O105" s="14"/>
    </row>
    <row r="106" spans="2:15" x14ac:dyDescent="0.2">
      <c r="B106" s="80"/>
      <c r="C106" s="90"/>
      <c r="D106" s="246" t="s">
        <v>108</v>
      </c>
      <c r="E106" s="247"/>
      <c r="F106" s="248"/>
      <c r="G106" s="79">
        <v>120998</v>
      </c>
      <c r="H106" s="79">
        <v>152313</v>
      </c>
      <c r="I106" s="78">
        <v>207769</v>
      </c>
      <c r="J106" s="78">
        <v>188548.23</v>
      </c>
      <c r="K106" s="78">
        <v>182710.71</v>
      </c>
      <c r="L106" s="78">
        <v>195000</v>
      </c>
      <c r="M106" s="78">
        <v>214000</v>
      </c>
      <c r="N106" s="78">
        <v>210000</v>
      </c>
      <c r="O106" s="14"/>
    </row>
    <row r="107" spans="2:15" x14ac:dyDescent="0.2">
      <c r="B107" s="80"/>
      <c r="C107" s="90"/>
      <c r="D107" s="246" t="s">
        <v>109</v>
      </c>
      <c r="E107" s="247"/>
      <c r="F107" s="248"/>
      <c r="G107" s="79">
        <v>264895</v>
      </c>
      <c r="H107" s="79">
        <v>1441</v>
      </c>
      <c r="I107" s="78">
        <v>148766</v>
      </c>
      <c r="J107" s="78">
        <v>122404.43</v>
      </c>
      <c r="K107" s="78">
        <v>0</v>
      </c>
      <c r="L107" s="78">
        <v>125000</v>
      </c>
      <c r="M107" s="78">
        <v>130693</v>
      </c>
      <c r="N107" s="78">
        <v>112094</v>
      </c>
      <c r="O107" s="14"/>
    </row>
    <row r="108" spans="2:15" x14ac:dyDescent="0.2">
      <c r="B108" s="80"/>
      <c r="C108" s="90"/>
      <c r="D108" s="246" t="s">
        <v>110</v>
      </c>
      <c r="E108" s="247"/>
      <c r="F108" s="248"/>
      <c r="G108" s="79">
        <v>614169</v>
      </c>
      <c r="H108" s="79">
        <v>628219</v>
      </c>
      <c r="I108" s="78">
        <v>355671</v>
      </c>
      <c r="J108" s="78">
        <v>0</v>
      </c>
      <c r="K108" s="78">
        <v>0</v>
      </c>
      <c r="L108" s="78">
        <v>0</v>
      </c>
      <c r="M108" s="78">
        <v>0</v>
      </c>
      <c r="N108" s="78">
        <v>0</v>
      </c>
      <c r="O108" s="14"/>
    </row>
    <row r="109" spans="2:15" x14ac:dyDescent="0.2">
      <c r="B109" s="80"/>
      <c r="C109" s="90"/>
      <c r="D109" s="246" t="s">
        <v>111</v>
      </c>
      <c r="E109" s="247"/>
      <c r="F109" s="248"/>
      <c r="G109" s="79">
        <v>1523775</v>
      </c>
      <c r="H109" s="79">
        <v>2077501</v>
      </c>
      <c r="I109" s="78">
        <v>2203309</v>
      </c>
      <c r="J109" s="78">
        <v>2562327.5099999998</v>
      </c>
      <c r="K109" s="78">
        <v>2511018.31</v>
      </c>
      <c r="L109" s="78">
        <v>2300000</v>
      </c>
      <c r="M109" s="78">
        <v>2355000</v>
      </c>
      <c r="N109" s="78">
        <v>2400000</v>
      </c>
      <c r="O109" s="14"/>
    </row>
    <row r="110" spans="2:15" x14ac:dyDescent="0.2">
      <c r="B110" s="80"/>
      <c r="C110" s="90"/>
      <c r="D110" s="246" t="s">
        <v>112</v>
      </c>
      <c r="E110" s="247"/>
      <c r="F110" s="248"/>
      <c r="G110" s="79">
        <v>1555</v>
      </c>
      <c r="H110" s="79">
        <v>1670</v>
      </c>
      <c r="I110" s="78">
        <v>1540</v>
      </c>
      <c r="J110" s="78">
        <v>1275</v>
      </c>
      <c r="K110" s="78">
        <v>1240</v>
      </c>
      <c r="L110" s="78">
        <v>1500</v>
      </c>
      <c r="M110" s="78">
        <v>1900</v>
      </c>
      <c r="N110" s="78">
        <v>1600</v>
      </c>
      <c r="O110" s="14"/>
    </row>
    <row r="111" spans="2:15" x14ac:dyDescent="0.2">
      <c r="B111" s="80"/>
      <c r="C111" s="90"/>
      <c r="D111" s="246" t="s">
        <v>113</v>
      </c>
      <c r="E111" s="247"/>
      <c r="F111" s="248"/>
      <c r="G111" s="79">
        <v>0</v>
      </c>
      <c r="H111" s="79">
        <v>0</v>
      </c>
      <c r="I111" s="79">
        <v>0</v>
      </c>
      <c r="J111" s="78">
        <v>195</v>
      </c>
      <c r="K111" s="78">
        <v>0</v>
      </c>
      <c r="L111" s="78">
        <v>0</v>
      </c>
      <c r="M111" s="78">
        <v>0</v>
      </c>
      <c r="N111" s="78">
        <v>0</v>
      </c>
      <c r="O111" s="14"/>
    </row>
    <row r="112" spans="2:15" x14ac:dyDescent="0.2">
      <c r="B112" s="80"/>
      <c r="C112" s="90"/>
      <c r="D112" s="246" t="s">
        <v>114</v>
      </c>
      <c r="E112" s="247"/>
      <c r="F112" s="248"/>
      <c r="G112" s="79">
        <v>4175</v>
      </c>
      <c r="H112" s="79">
        <v>900</v>
      </c>
      <c r="I112" s="78">
        <v>825</v>
      </c>
      <c r="J112" s="78">
        <v>275</v>
      </c>
      <c r="K112" s="78">
        <v>500</v>
      </c>
      <c r="L112" s="78">
        <v>500</v>
      </c>
      <c r="M112" s="78">
        <v>1200</v>
      </c>
      <c r="N112" s="78">
        <v>1000</v>
      </c>
      <c r="O112" s="14"/>
    </row>
    <row r="113" spans="2:15" x14ac:dyDescent="0.2">
      <c r="B113" s="80"/>
      <c r="C113" s="90"/>
      <c r="D113" s="246" t="s">
        <v>115</v>
      </c>
      <c r="E113" s="247"/>
      <c r="F113" s="248"/>
      <c r="G113" s="79">
        <v>-650</v>
      </c>
      <c r="H113" s="79">
        <v>5750</v>
      </c>
      <c r="I113" s="78">
        <v>3850</v>
      </c>
      <c r="J113" s="78">
        <v>3150</v>
      </c>
      <c r="K113" s="78">
        <v>4700</v>
      </c>
      <c r="L113" s="78">
        <v>3500</v>
      </c>
      <c r="M113" s="78">
        <v>4500</v>
      </c>
      <c r="N113" s="78">
        <v>4500</v>
      </c>
      <c r="O113" s="14"/>
    </row>
    <row r="114" spans="2:15" x14ac:dyDescent="0.2">
      <c r="B114" s="80"/>
      <c r="C114" s="90"/>
      <c r="D114" s="246" t="s">
        <v>116</v>
      </c>
      <c r="E114" s="247"/>
      <c r="F114" s="248"/>
      <c r="G114" s="79">
        <v>9123</v>
      </c>
      <c r="H114" s="79">
        <v>16814</v>
      </c>
      <c r="I114" s="78">
        <v>15502</v>
      </c>
      <c r="J114" s="78">
        <v>37924.43</v>
      </c>
      <c r="K114" s="78">
        <v>0</v>
      </c>
      <c r="L114" s="78">
        <v>0</v>
      </c>
      <c r="M114" s="78">
        <v>0</v>
      </c>
      <c r="N114" s="78">
        <v>0</v>
      </c>
      <c r="O114" s="14"/>
    </row>
    <row r="115" spans="2:15" x14ac:dyDescent="0.2">
      <c r="B115" s="80"/>
      <c r="C115" s="90"/>
      <c r="D115" s="246" t="s">
        <v>117</v>
      </c>
      <c r="E115" s="247"/>
      <c r="F115" s="248"/>
      <c r="G115" s="79">
        <v>14580</v>
      </c>
      <c r="H115" s="79">
        <v>15120</v>
      </c>
      <c r="I115" s="78">
        <v>0</v>
      </c>
      <c r="J115" s="78">
        <v>0</v>
      </c>
      <c r="K115" s="78">
        <v>6455</v>
      </c>
      <c r="L115" s="78">
        <v>5200</v>
      </c>
      <c r="M115" s="78">
        <v>3500</v>
      </c>
      <c r="N115" s="78">
        <v>4000</v>
      </c>
      <c r="O115" s="14"/>
    </row>
    <row r="116" spans="2:15" x14ac:dyDescent="0.2">
      <c r="B116" s="80"/>
      <c r="C116" s="90"/>
      <c r="D116" s="246" t="s">
        <v>118</v>
      </c>
      <c r="E116" s="247"/>
      <c r="F116" s="248"/>
      <c r="G116" s="79">
        <v>36292</v>
      </c>
      <c r="H116" s="79">
        <v>174735</v>
      </c>
      <c r="I116" s="78">
        <v>166253</v>
      </c>
      <c r="J116" s="78">
        <v>101474.19</v>
      </c>
      <c r="K116" s="78">
        <v>101243</v>
      </c>
      <c r="L116" s="78">
        <v>150000</v>
      </c>
      <c r="M116" s="78">
        <v>106000</v>
      </c>
      <c r="N116" s="78">
        <v>110000</v>
      </c>
      <c r="O116" s="14"/>
    </row>
    <row r="117" spans="2:15" x14ac:dyDescent="0.2">
      <c r="B117" s="80"/>
      <c r="C117" s="90"/>
      <c r="D117" s="246" t="s">
        <v>119</v>
      </c>
      <c r="E117" s="247"/>
      <c r="F117" s="248"/>
      <c r="G117" s="79">
        <v>7300</v>
      </c>
      <c r="H117" s="79">
        <v>8800</v>
      </c>
      <c r="I117" s="78">
        <v>7700</v>
      </c>
      <c r="J117" s="78">
        <v>7500</v>
      </c>
      <c r="K117" s="78">
        <v>6900</v>
      </c>
      <c r="L117" s="78">
        <v>7500</v>
      </c>
      <c r="M117" s="78">
        <v>6000</v>
      </c>
      <c r="N117" s="78">
        <v>6500</v>
      </c>
      <c r="O117" s="14"/>
    </row>
    <row r="118" spans="2:15" x14ac:dyDescent="0.2">
      <c r="B118" s="80"/>
      <c r="C118" s="235" t="s">
        <v>120</v>
      </c>
      <c r="D118" s="236"/>
      <c r="E118" s="236"/>
      <c r="F118" s="237"/>
      <c r="G118" s="89">
        <f>SUM(G119:G120)</f>
        <v>0</v>
      </c>
      <c r="H118" s="89">
        <f t="shared" ref="H118:N118" si="22">SUM(H119:H120)</f>
        <v>343595</v>
      </c>
      <c r="I118" s="89">
        <f t="shared" si="22"/>
        <v>0</v>
      </c>
      <c r="J118" s="89">
        <f t="shared" si="22"/>
        <v>2900</v>
      </c>
      <c r="K118" s="89">
        <f t="shared" si="22"/>
        <v>0</v>
      </c>
      <c r="L118" s="89">
        <f t="shared" si="22"/>
        <v>2000</v>
      </c>
      <c r="M118" s="89">
        <f t="shared" si="22"/>
        <v>0</v>
      </c>
      <c r="N118" s="89">
        <f t="shared" si="22"/>
        <v>2000</v>
      </c>
      <c r="O118" s="23"/>
    </row>
    <row r="119" spans="2:15" x14ac:dyDescent="0.2">
      <c r="B119" s="80"/>
      <c r="C119" s="80"/>
      <c r="D119" s="232" t="s">
        <v>121</v>
      </c>
      <c r="E119" s="233"/>
      <c r="F119" s="234"/>
      <c r="G119" s="79">
        <v>0</v>
      </c>
      <c r="H119" s="79">
        <v>150</v>
      </c>
      <c r="I119" s="88">
        <v>0</v>
      </c>
      <c r="J119" s="88">
        <v>0</v>
      </c>
      <c r="K119" s="88">
        <v>0</v>
      </c>
      <c r="L119" s="88">
        <v>0</v>
      </c>
      <c r="M119" s="78">
        <v>0</v>
      </c>
      <c r="N119" s="88">
        <v>0</v>
      </c>
      <c r="O119" s="23"/>
    </row>
    <row r="120" spans="2:15" x14ac:dyDescent="0.2">
      <c r="B120" s="80"/>
      <c r="C120" s="80"/>
      <c r="D120" s="232" t="s">
        <v>122</v>
      </c>
      <c r="E120" s="233"/>
      <c r="F120" s="234"/>
      <c r="G120" s="79">
        <v>0</v>
      </c>
      <c r="H120" s="79">
        <v>343445</v>
      </c>
      <c r="I120" s="78">
        <v>0</v>
      </c>
      <c r="J120" s="78">
        <v>2900</v>
      </c>
      <c r="K120" s="78">
        <v>0</v>
      </c>
      <c r="L120" s="78">
        <v>2000</v>
      </c>
      <c r="M120" s="78">
        <v>0</v>
      </c>
      <c r="N120" s="78">
        <v>2000</v>
      </c>
      <c r="O120" s="14"/>
    </row>
    <row r="121" spans="2:15" x14ac:dyDescent="0.2">
      <c r="B121" s="80"/>
      <c r="C121" s="243" t="s">
        <v>123</v>
      </c>
      <c r="D121" s="244"/>
      <c r="E121" s="244"/>
      <c r="F121" s="245"/>
      <c r="G121" s="84">
        <f>SUM(G122:G126)</f>
        <v>106432</v>
      </c>
      <c r="H121" s="84">
        <f t="shared" ref="H121:N121" si="23">SUM(H122:H126)</f>
        <v>2881720</v>
      </c>
      <c r="I121" s="84">
        <f t="shared" si="23"/>
        <v>22419983</v>
      </c>
      <c r="J121" s="84">
        <f t="shared" si="23"/>
        <v>12135786.82</v>
      </c>
      <c r="K121" s="84">
        <f t="shared" si="23"/>
        <v>11914649.810000001</v>
      </c>
      <c r="L121" s="84">
        <f t="shared" si="23"/>
        <v>9593000</v>
      </c>
      <c r="M121" s="84">
        <f t="shared" si="23"/>
        <v>9260050</v>
      </c>
      <c r="N121" s="84">
        <f t="shared" si="23"/>
        <v>7093000</v>
      </c>
      <c r="O121" s="83"/>
    </row>
    <row r="122" spans="2:15" x14ac:dyDescent="0.2">
      <c r="B122" s="80"/>
      <c r="C122" s="80"/>
      <c r="D122" s="232" t="s">
        <v>124</v>
      </c>
      <c r="E122" s="233"/>
      <c r="F122" s="234"/>
      <c r="G122" s="79">
        <v>21930</v>
      </c>
      <c r="H122" s="79">
        <v>40653</v>
      </c>
      <c r="I122" s="78">
        <v>4846251</v>
      </c>
      <c r="J122" s="78">
        <v>12103549.51</v>
      </c>
      <c r="K122" s="78">
        <v>11756390</v>
      </c>
      <c r="L122" s="78">
        <v>9500000</v>
      </c>
      <c r="M122" s="78">
        <v>9000000</v>
      </c>
      <c r="N122" s="78">
        <v>7000000</v>
      </c>
      <c r="O122" s="14"/>
    </row>
    <row r="123" spans="2:15" x14ac:dyDescent="0.2">
      <c r="B123" s="80"/>
      <c r="C123" s="80"/>
      <c r="D123" s="232" t="s">
        <v>125</v>
      </c>
      <c r="E123" s="233"/>
      <c r="F123" s="234"/>
      <c r="G123" s="79">
        <v>37823</v>
      </c>
      <c r="H123" s="79">
        <v>26942</v>
      </c>
      <c r="I123" s="78">
        <v>40732</v>
      </c>
      <c r="J123" s="78">
        <v>95933.07</v>
      </c>
      <c r="K123" s="78">
        <v>32765.81</v>
      </c>
      <c r="L123" s="78">
        <v>55000</v>
      </c>
      <c r="M123" s="78">
        <v>45050</v>
      </c>
      <c r="N123" s="78">
        <v>55000</v>
      </c>
      <c r="O123" s="14"/>
    </row>
    <row r="124" spans="2:15" x14ac:dyDescent="0.2">
      <c r="B124" s="80"/>
      <c r="C124" s="80"/>
      <c r="D124" s="232" t="s">
        <v>126</v>
      </c>
      <c r="E124" s="233"/>
      <c r="F124" s="234"/>
      <c r="G124" s="79">
        <v>45491</v>
      </c>
      <c r="H124" s="79">
        <v>30015</v>
      </c>
      <c r="I124" s="78">
        <v>33000</v>
      </c>
      <c r="J124" s="78">
        <v>-63695.76</v>
      </c>
      <c r="K124" s="78">
        <v>125249</v>
      </c>
      <c r="L124" s="78">
        <v>38000</v>
      </c>
      <c r="M124" s="78">
        <v>215000</v>
      </c>
      <c r="N124" s="78">
        <v>38000</v>
      </c>
      <c r="O124" s="14"/>
    </row>
    <row r="125" spans="2:15" x14ac:dyDescent="0.2">
      <c r="B125" s="80"/>
      <c r="C125" s="80"/>
      <c r="D125" s="232" t="s">
        <v>127</v>
      </c>
      <c r="E125" s="233"/>
      <c r="F125" s="234"/>
      <c r="G125" s="79">
        <v>0</v>
      </c>
      <c r="H125" s="79">
        <v>0</v>
      </c>
      <c r="I125" s="79">
        <v>0</v>
      </c>
      <c r="J125" s="79">
        <v>0</v>
      </c>
      <c r="K125" s="78">
        <v>245</v>
      </c>
      <c r="L125" s="78">
        <v>0</v>
      </c>
      <c r="M125" s="79">
        <v>0</v>
      </c>
      <c r="N125" s="78">
        <v>0</v>
      </c>
      <c r="O125" s="14"/>
    </row>
    <row r="126" spans="2:15" x14ac:dyDescent="0.2">
      <c r="B126" s="80"/>
      <c r="C126" s="80"/>
      <c r="D126" s="232" t="s">
        <v>128</v>
      </c>
      <c r="E126" s="233"/>
      <c r="F126" s="234"/>
      <c r="G126" s="79">
        <v>1188</v>
      </c>
      <c r="H126" s="79">
        <v>2784110</v>
      </c>
      <c r="I126" s="78">
        <v>17500000</v>
      </c>
      <c r="J126" s="78">
        <v>0</v>
      </c>
      <c r="K126" s="78">
        <v>0</v>
      </c>
      <c r="L126" s="78">
        <v>0</v>
      </c>
      <c r="M126" s="78">
        <v>0</v>
      </c>
      <c r="N126" s="78">
        <v>0</v>
      </c>
      <c r="O126" s="14"/>
    </row>
    <row r="127" spans="2:15" x14ac:dyDescent="0.2">
      <c r="B127" s="80"/>
      <c r="C127" s="235" t="s">
        <v>129</v>
      </c>
      <c r="D127" s="236"/>
      <c r="E127" s="236"/>
      <c r="F127" s="237"/>
      <c r="G127" s="87">
        <f>SUM(G128:G129)</f>
        <v>180533</v>
      </c>
      <c r="H127" s="87">
        <f t="shared" ref="H127:N127" si="24">SUM(H128:H129)</f>
        <v>303858</v>
      </c>
      <c r="I127" s="87">
        <f t="shared" si="24"/>
        <v>146143</v>
      </c>
      <c r="J127" s="87">
        <f t="shared" si="24"/>
        <v>354304.53</v>
      </c>
      <c r="K127" s="87">
        <f t="shared" si="24"/>
        <v>496929</v>
      </c>
      <c r="L127" s="87">
        <f t="shared" si="24"/>
        <v>1495000</v>
      </c>
      <c r="M127" s="87">
        <f t="shared" si="24"/>
        <v>5832000</v>
      </c>
      <c r="N127" s="87">
        <f t="shared" si="24"/>
        <v>1035000</v>
      </c>
      <c r="O127" s="14"/>
    </row>
    <row r="128" spans="2:15" x14ac:dyDescent="0.2">
      <c r="B128" s="80"/>
      <c r="C128" s="80"/>
      <c r="D128" s="240" t="s">
        <v>130</v>
      </c>
      <c r="E128" s="241"/>
      <c r="F128" s="242"/>
      <c r="G128" s="86">
        <v>17213</v>
      </c>
      <c r="H128" s="86">
        <v>37991</v>
      </c>
      <c r="I128" s="81">
        <v>3683</v>
      </c>
      <c r="J128" s="81">
        <v>35409.53</v>
      </c>
      <c r="K128" s="81">
        <v>38294</v>
      </c>
      <c r="L128" s="81">
        <v>25000</v>
      </c>
      <c r="M128" s="78">
        <v>32000</v>
      </c>
      <c r="N128" s="81">
        <v>35000</v>
      </c>
      <c r="O128" s="20"/>
    </row>
    <row r="129" spans="2:15" x14ac:dyDescent="0.2">
      <c r="B129" s="80"/>
      <c r="C129" s="80"/>
      <c r="D129" s="232" t="s">
        <v>131</v>
      </c>
      <c r="E129" s="233"/>
      <c r="F129" s="234"/>
      <c r="G129" s="79">
        <v>163320</v>
      </c>
      <c r="H129" s="79">
        <v>265867</v>
      </c>
      <c r="I129" s="78">
        <v>142460</v>
      </c>
      <c r="J129" s="78">
        <v>318895</v>
      </c>
      <c r="K129" s="78">
        <v>458635</v>
      </c>
      <c r="L129" s="78">
        <v>1470000</v>
      </c>
      <c r="M129" s="78">
        <v>5800000</v>
      </c>
      <c r="N129" s="78">
        <v>1000000</v>
      </c>
      <c r="O129" s="14"/>
    </row>
    <row r="130" spans="2:15" x14ac:dyDescent="0.2">
      <c r="B130" s="80"/>
      <c r="C130" s="243" t="s">
        <v>132</v>
      </c>
      <c r="D130" s="244"/>
      <c r="E130" s="244"/>
      <c r="F130" s="245"/>
      <c r="G130" s="84">
        <f>SUM(G131:G137)</f>
        <v>92586236</v>
      </c>
      <c r="H130" s="84">
        <f t="shared" ref="H130:N130" si="25">SUM(H131:H137)</f>
        <v>79566414</v>
      </c>
      <c r="I130" s="84">
        <f t="shared" si="25"/>
        <v>74919786</v>
      </c>
      <c r="J130" s="84">
        <f t="shared" si="25"/>
        <v>73492425.769999996</v>
      </c>
      <c r="K130" s="84">
        <f t="shared" si="25"/>
        <v>79542537.420000002</v>
      </c>
      <c r="L130" s="84">
        <f t="shared" si="25"/>
        <v>79429584</v>
      </c>
      <c r="M130" s="84">
        <f t="shared" si="25"/>
        <v>79580230</v>
      </c>
      <c r="N130" s="84">
        <f t="shared" si="25"/>
        <v>89529584</v>
      </c>
      <c r="O130" s="83"/>
    </row>
    <row r="131" spans="2:15" x14ac:dyDescent="0.2">
      <c r="B131" s="80"/>
      <c r="C131" s="141"/>
      <c r="D131" s="232" t="s">
        <v>133</v>
      </c>
      <c r="E131" s="233"/>
      <c r="F131" s="234"/>
      <c r="G131" s="108">
        <v>0</v>
      </c>
      <c r="H131" s="108">
        <v>0</v>
      </c>
      <c r="I131" s="108">
        <v>0</v>
      </c>
      <c r="J131" s="108">
        <v>0</v>
      </c>
      <c r="K131" s="108">
        <v>68651</v>
      </c>
      <c r="L131" s="108">
        <v>0</v>
      </c>
      <c r="M131" s="92">
        <v>0</v>
      </c>
      <c r="N131" s="108">
        <v>0</v>
      </c>
      <c r="O131" s="83"/>
    </row>
    <row r="132" spans="2:15" x14ac:dyDescent="0.2">
      <c r="B132" s="80"/>
      <c r="C132" s="80"/>
      <c r="D132" s="232" t="s">
        <v>134</v>
      </c>
      <c r="E132" s="233"/>
      <c r="F132" s="234"/>
      <c r="G132" s="79">
        <v>1444343</v>
      </c>
      <c r="H132" s="79">
        <v>3133327</v>
      </c>
      <c r="I132" s="78">
        <v>2757768</v>
      </c>
      <c r="J132" s="78">
        <v>1715100.77</v>
      </c>
      <c r="K132" s="78">
        <v>2430430.71</v>
      </c>
      <c r="L132" s="78">
        <v>2500000</v>
      </c>
      <c r="M132" s="78">
        <v>2650646</v>
      </c>
      <c r="N132" s="78">
        <v>2600000</v>
      </c>
      <c r="O132" s="14"/>
    </row>
    <row r="133" spans="2:15" x14ac:dyDescent="0.2">
      <c r="B133" s="80"/>
      <c r="C133" s="80"/>
      <c r="D133" s="232" t="s">
        <v>135</v>
      </c>
      <c r="E133" s="233"/>
      <c r="F133" s="234"/>
      <c r="G133" s="79">
        <v>4665211</v>
      </c>
      <c r="H133" s="79">
        <v>4656173</v>
      </c>
      <c r="I133" s="78">
        <v>375476</v>
      </c>
      <c r="J133" s="78">
        <v>0</v>
      </c>
      <c r="K133" s="78">
        <v>90008.1</v>
      </c>
      <c r="L133" s="78">
        <v>0</v>
      </c>
      <c r="M133" s="78">
        <v>0</v>
      </c>
      <c r="N133" s="78">
        <v>0</v>
      </c>
      <c r="O133" s="14"/>
    </row>
    <row r="134" spans="2:15" x14ac:dyDescent="0.2">
      <c r="B134" s="80"/>
      <c r="C134" s="80"/>
      <c r="D134" s="232" t="s">
        <v>136</v>
      </c>
      <c r="E134" s="233"/>
      <c r="F134" s="234"/>
      <c r="G134" s="79">
        <v>60887</v>
      </c>
      <c r="H134" s="79">
        <v>18330</v>
      </c>
      <c r="I134" s="78">
        <v>27958</v>
      </c>
      <c r="J134" s="78">
        <v>18741</v>
      </c>
      <c r="K134" s="78">
        <v>24319</v>
      </c>
      <c r="L134" s="78">
        <v>0</v>
      </c>
      <c r="M134" s="78">
        <v>0</v>
      </c>
      <c r="N134" s="78">
        <v>0</v>
      </c>
      <c r="O134" s="14"/>
    </row>
    <row r="135" spans="2:15" x14ac:dyDescent="0.2">
      <c r="B135" s="80"/>
      <c r="C135" s="80"/>
      <c r="D135" s="232" t="s">
        <v>137</v>
      </c>
      <c r="E135" s="233"/>
      <c r="F135" s="234"/>
      <c r="G135" s="79">
        <v>86110301</v>
      </c>
      <c r="H135" s="79">
        <v>71758584</v>
      </c>
      <c r="I135" s="78">
        <v>71758584</v>
      </c>
      <c r="J135" s="78">
        <v>71758584</v>
      </c>
      <c r="K135" s="78">
        <v>71758584</v>
      </c>
      <c r="L135" s="78">
        <v>71758584</v>
      </c>
      <c r="M135" s="78">
        <v>71758584</v>
      </c>
      <c r="N135" s="78">
        <v>71758584</v>
      </c>
      <c r="O135" s="14"/>
    </row>
    <row r="136" spans="2:15" x14ac:dyDescent="0.2">
      <c r="B136" s="80"/>
      <c r="C136" s="80"/>
      <c r="D136" s="232" t="s">
        <v>138</v>
      </c>
      <c r="E136" s="233"/>
      <c r="F136" s="234"/>
      <c r="G136" s="79">
        <v>0</v>
      </c>
      <c r="H136" s="79">
        <v>0</v>
      </c>
      <c r="I136" s="78">
        <v>0</v>
      </c>
      <c r="J136" s="78">
        <v>0</v>
      </c>
      <c r="K136" s="78">
        <v>5000000</v>
      </c>
      <c r="L136" s="78">
        <v>5000000</v>
      </c>
      <c r="M136" s="78">
        <v>5000000</v>
      </c>
      <c r="N136" s="78">
        <v>15000000</v>
      </c>
      <c r="O136" s="14"/>
    </row>
    <row r="137" spans="2:15" x14ac:dyDescent="0.2">
      <c r="B137" s="80"/>
      <c r="C137" s="80"/>
      <c r="D137" s="232" t="s">
        <v>139</v>
      </c>
      <c r="E137" s="233"/>
      <c r="F137" s="234"/>
      <c r="G137" s="79">
        <v>305494</v>
      </c>
      <c r="H137" s="79">
        <v>0</v>
      </c>
      <c r="I137" s="78">
        <v>0</v>
      </c>
      <c r="J137" s="78">
        <v>0</v>
      </c>
      <c r="K137" s="78">
        <v>170544.61</v>
      </c>
      <c r="L137" s="78">
        <v>171000</v>
      </c>
      <c r="M137" s="78">
        <v>171000</v>
      </c>
      <c r="N137" s="78">
        <v>171000</v>
      </c>
      <c r="O137" s="14"/>
    </row>
    <row r="138" spans="2:15" x14ac:dyDescent="0.2">
      <c r="B138" s="80"/>
      <c r="C138" s="235" t="s">
        <v>140</v>
      </c>
      <c r="D138" s="236"/>
      <c r="E138" s="236"/>
      <c r="F138" s="237"/>
      <c r="G138" s="85">
        <f>G139</f>
        <v>0</v>
      </c>
      <c r="H138" s="85">
        <f t="shared" ref="H138:N138" si="26">H139</f>
        <v>0</v>
      </c>
      <c r="I138" s="85">
        <f t="shared" si="26"/>
        <v>16736551</v>
      </c>
      <c r="J138" s="85">
        <f t="shared" si="26"/>
        <v>4000000</v>
      </c>
      <c r="K138" s="85">
        <f t="shared" si="26"/>
        <v>0</v>
      </c>
      <c r="L138" s="85">
        <f t="shared" si="26"/>
        <v>0</v>
      </c>
      <c r="M138" s="85">
        <f t="shared" si="26"/>
        <v>0</v>
      </c>
      <c r="N138" s="85">
        <f t="shared" si="26"/>
        <v>0</v>
      </c>
      <c r="O138" s="14"/>
    </row>
    <row r="139" spans="2:15" x14ac:dyDescent="0.2">
      <c r="B139" s="80"/>
      <c r="C139" s="80"/>
      <c r="D139" s="232" t="s">
        <v>141</v>
      </c>
      <c r="E139" s="233"/>
      <c r="F139" s="234"/>
      <c r="G139" s="79">
        <v>0</v>
      </c>
      <c r="H139" s="79">
        <v>0</v>
      </c>
      <c r="I139" s="78">
        <v>16736551</v>
      </c>
      <c r="J139" s="78">
        <v>4000000</v>
      </c>
      <c r="K139" s="78">
        <v>0</v>
      </c>
      <c r="L139" s="78">
        <v>0</v>
      </c>
      <c r="M139" s="147">
        <v>0</v>
      </c>
      <c r="N139" s="78">
        <v>0</v>
      </c>
      <c r="O139" s="14"/>
    </row>
    <row r="140" spans="2:15" x14ac:dyDescent="0.2">
      <c r="B140" s="80"/>
      <c r="C140" s="243" t="s">
        <v>142</v>
      </c>
      <c r="D140" s="244"/>
      <c r="E140" s="244"/>
      <c r="F140" s="245"/>
      <c r="G140" s="84">
        <f>SUM(G141:G151)</f>
        <v>11461708</v>
      </c>
      <c r="H140" s="84">
        <f t="shared" ref="H140:N140" si="27">SUM(H141:H151)</f>
        <v>3334942</v>
      </c>
      <c r="I140" s="84">
        <f t="shared" si="27"/>
        <v>3375769</v>
      </c>
      <c r="J140" s="84">
        <f t="shared" si="27"/>
        <v>3140557</v>
      </c>
      <c r="K140" s="84">
        <f t="shared" si="27"/>
        <v>3504224</v>
      </c>
      <c r="L140" s="84">
        <f t="shared" si="27"/>
        <v>3493250</v>
      </c>
      <c r="M140" s="84">
        <f t="shared" si="27"/>
        <v>3520551</v>
      </c>
      <c r="N140" s="84">
        <f t="shared" si="27"/>
        <v>3493250</v>
      </c>
      <c r="O140" s="83"/>
    </row>
    <row r="141" spans="2:15" x14ac:dyDescent="0.2">
      <c r="B141" s="80"/>
      <c r="C141" s="80"/>
      <c r="D141" s="232" t="s">
        <v>143</v>
      </c>
      <c r="E141" s="233"/>
      <c r="F141" s="234"/>
      <c r="G141" s="79">
        <v>17951</v>
      </c>
      <c r="H141" s="79">
        <v>0</v>
      </c>
      <c r="I141" s="78">
        <v>0</v>
      </c>
      <c r="J141" s="78">
        <v>0</v>
      </c>
      <c r="K141" s="78">
        <v>0</v>
      </c>
      <c r="L141" s="78">
        <v>0</v>
      </c>
      <c r="M141" s="78">
        <v>0</v>
      </c>
      <c r="N141" s="78">
        <v>0</v>
      </c>
      <c r="O141" s="14"/>
    </row>
    <row r="142" spans="2:15" x14ac:dyDescent="0.2">
      <c r="B142" s="80"/>
      <c r="C142" s="80"/>
      <c r="D142" s="232" t="s">
        <v>144</v>
      </c>
      <c r="E142" s="233"/>
      <c r="F142" s="234"/>
      <c r="G142" s="79">
        <v>0</v>
      </c>
      <c r="H142" s="79">
        <v>0</v>
      </c>
      <c r="I142" s="78">
        <v>3475</v>
      </c>
      <c r="J142" s="78">
        <v>5550</v>
      </c>
      <c r="K142" s="78">
        <v>3500</v>
      </c>
      <c r="L142" s="78">
        <v>2500</v>
      </c>
      <c r="M142" s="78">
        <v>2847</v>
      </c>
      <c r="N142" s="78">
        <v>2500</v>
      </c>
      <c r="O142" s="14"/>
    </row>
    <row r="143" spans="2:15" x14ac:dyDescent="0.2">
      <c r="B143" s="80"/>
      <c r="C143" s="80"/>
      <c r="D143" s="232" t="s">
        <v>145</v>
      </c>
      <c r="E143" s="233"/>
      <c r="F143" s="234"/>
      <c r="G143" s="79">
        <v>178897</v>
      </c>
      <c r="H143" s="79">
        <v>296034</v>
      </c>
      <c r="I143" s="78">
        <v>212389</v>
      </c>
      <c r="J143" s="78">
        <v>114579</v>
      </c>
      <c r="K143" s="78">
        <v>159974</v>
      </c>
      <c r="L143" s="78">
        <v>150000</v>
      </c>
      <c r="M143" s="78">
        <v>176954</v>
      </c>
      <c r="N143" s="78">
        <v>150000</v>
      </c>
      <c r="O143" s="14"/>
    </row>
    <row r="144" spans="2:15" x14ac:dyDescent="0.2">
      <c r="B144" s="80"/>
      <c r="C144" s="80"/>
      <c r="D144" s="232" t="s">
        <v>146</v>
      </c>
      <c r="E144" s="233"/>
      <c r="F144" s="234"/>
      <c r="G144" s="79">
        <v>298707</v>
      </c>
      <c r="H144" s="79">
        <v>0</v>
      </c>
      <c r="I144" s="78">
        <v>2182</v>
      </c>
      <c r="J144" s="78">
        <v>0</v>
      </c>
      <c r="K144" s="78">
        <v>0</v>
      </c>
      <c r="L144" s="78">
        <v>0</v>
      </c>
      <c r="M144" s="78">
        <v>0</v>
      </c>
      <c r="N144" s="78">
        <v>0</v>
      </c>
      <c r="O144" s="14"/>
    </row>
    <row r="145" spans="1:15" x14ac:dyDescent="0.2">
      <c r="B145" s="80"/>
      <c r="C145" s="80"/>
      <c r="D145" s="232" t="s">
        <v>147</v>
      </c>
      <c r="E145" s="233"/>
      <c r="F145" s="234"/>
      <c r="G145" s="79">
        <v>1629233</v>
      </c>
      <c r="H145" s="79">
        <v>21869</v>
      </c>
      <c r="I145" s="78">
        <v>0</v>
      </c>
      <c r="J145" s="78">
        <v>0</v>
      </c>
      <c r="K145" s="78">
        <v>0</v>
      </c>
      <c r="L145" s="78">
        <v>0</v>
      </c>
      <c r="M145" s="78">
        <v>0</v>
      </c>
      <c r="N145" s="78">
        <v>0</v>
      </c>
      <c r="O145" s="14"/>
    </row>
    <row r="146" spans="1:15" x14ac:dyDescent="0.2">
      <c r="B146" s="80"/>
      <c r="C146" s="80"/>
      <c r="D146" s="232" t="s">
        <v>148</v>
      </c>
      <c r="E146" s="233"/>
      <c r="F146" s="234"/>
      <c r="G146" s="79">
        <v>400000</v>
      </c>
      <c r="H146" s="79">
        <v>192039</v>
      </c>
      <c r="I146" s="78">
        <v>0</v>
      </c>
      <c r="J146" s="78">
        <v>0</v>
      </c>
      <c r="K146" s="78">
        <v>0</v>
      </c>
      <c r="L146" s="78">
        <v>0</v>
      </c>
      <c r="M146" s="78">
        <v>0</v>
      </c>
      <c r="N146" s="78">
        <v>0</v>
      </c>
      <c r="O146" s="14"/>
    </row>
    <row r="147" spans="1:15" x14ac:dyDescent="0.2">
      <c r="B147" s="80"/>
      <c r="C147" s="80"/>
      <c r="D147" s="232" t="s">
        <v>149</v>
      </c>
      <c r="E147" s="233"/>
      <c r="F147" s="234"/>
      <c r="G147" s="79">
        <v>2300000</v>
      </c>
      <c r="H147" s="79">
        <v>2300000</v>
      </c>
      <c r="I147" s="78">
        <v>2300000</v>
      </c>
      <c r="J147" s="78">
        <v>2300000</v>
      </c>
      <c r="K147" s="78">
        <v>2800000</v>
      </c>
      <c r="L147" s="78">
        <v>2800000</v>
      </c>
      <c r="M147" s="78">
        <v>2800000</v>
      </c>
      <c r="N147" s="78">
        <v>2800000</v>
      </c>
      <c r="O147" s="14"/>
    </row>
    <row r="148" spans="1:15" x14ac:dyDescent="0.2">
      <c r="B148" s="80"/>
      <c r="C148" s="80"/>
      <c r="D148" s="232" t="s">
        <v>150</v>
      </c>
      <c r="E148" s="233"/>
      <c r="F148" s="234"/>
      <c r="G148" s="79">
        <v>525000</v>
      </c>
      <c r="H148" s="79">
        <v>525000</v>
      </c>
      <c r="I148" s="78">
        <v>525000</v>
      </c>
      <c r="J148" s="78">
        <v>525000</v>
      </c>
      <c r="K148" s="78">
        <v>540750</v>
      </c>
      <c r="L148" s="78">
        <v>540750</v>
      </c>
      <c r="M148" s="78">
        <v>540750</v>
      </c>
      <c r="N148" s="78">
        <v>540750</v>
      </c>
      <c r="O148" s="14"/>
    </row>
    <row r="149" spans="1:15" x14ac:dyDescent="0.2">
      <c r="B149" s="80"/>
      <c r="C149" s="80"/>
      <c r="D149" s="232" t="s">
        <v>151</v>
      </c>
      <c r="E149" s="233"/>
      <c r="F149" s="234"/>
      <c r="G149" s="79">
        <v>322920</v>
      </c>
      <c r="H149" s="79">
        <v>0</v>
      </c>
      <c r="I149" s="78">
        <v>235009</v>
      </c>
      <c r="J149" s="78">
        <v>0</v>
      </c>
      <c r="K149" s="78">
        <v>0</v>
      </c>
      <c r="L149" s="78">
        <v>0</v>
      </c>
      <c r="M149" s="78">
        <v>0</v>
      </c>
      <c r="N149" s="78">
        <v>0</v>
      </c>
      <c r="O149" s="14"/>
    </row>
    <row r="150" spans="1:15" x14ac:dyDescent="0.2">
      <c r="B150" s="80"/>
      <c r="C150" s="80"/>
      <c r="D150" s="232" t="s">
        <v>152</v>
      </c>
      <c r="E150" s="233"/>
      <c r="F150" s="234"/>
      <c r="G150" s="79">
        <v>0</v>
      </c>
      <c r="H150" s="79">
        <v>0</v>
      </c>
      <c r="I150" s="78">
        <v>97714</v>
      </c>
      <c r="J150" s="78">
        <v>195428</v>
      </c>
      <c r="K150" s="78">
        <v>0</v>
      </c>
      <c r="L150" s="78">
        <v>0</v>
      </c>
      <c r="M150" s="78">
        <v>0</v>
      </c>
      <c r="N150" s="78">
        <v>0</v>
      </c>
      <c r="O150" s="14"/>
    </row>
    <row r="151" spans="1:15" x14ac:dyDescent="0.2">
      <c r="B151" s="80"/>
      <c r="C151" s="80"/>
      <c r="D151" s="232" t="s">
        <v>153</v>
      </c>
      <c r="E151" s="233"/>
      <c r="F151" s="234"/>
      <c r="G151" s="79">
        <v>5789000</v>
      </c>
      <c r="H151" s="79">
        <v>0</v>
      </c>
      <c r="I151" s="78">
        <v>0</v>
      </c>
      <c r="J151" s="78">
        <v>0</v>
      </c>
      <c r="K151" s="78">
        <v>0</v>
      </c>
      <c r="L151" s="78">
        <v>0</v>
      </c>
      <c r="M151" s="78">
        <v>0</v>
      </c>
      <c r="N151" s="78">
        <v>0</v>
      </c>
      <c r="O151" s="14"/>
    </row>
    <row r="152" spans="1:15" x14ac:dyDescent="0.2">
      <c r="B152" s="80"/>
      <c r="C152" s="235" t="s">
        <v>154</v>
      </c>
      <c r="D152" s="236"/>
      <c r="E152" s="236"/>
      <c r="F152" s="237"/>
      <c r="G152" s="82">
        <f>SUM(G153:G154)</f>
        <v>0</v>
      </c>
      <c r="H152" s="82">
        <f t="shared" ref="H152:N152" si="28">SUM(H153:H154)</f>
        <v>0</v>
      </c>
      <c r="I152" s="82">
        <f t="shared" si="28"/>
        <v>39014410</v>
      </c>
      <c r="J152" s="82">
        <f t="shared" si="28"/>
        <v>43157414</v>
      </c>
      <c r="K152" s="82">
        <f t="shared" si="28"/>
        <v>54866750</v>
      </c>
      <c r="L152" s="82">
        <f t="shared" si="28"/>
        <v>58970189</v>
      </c>
      <c r="M152" s="82">
        <f t="shared" si="28"/>
        <v>58970189</v>
      </c>
      <c r="N152" s="82">
        <f t="shared" si="28"/>
        <v>61913554</v>
      </c>
      <c r="O152" s="21"/>
    </row>
    <row r="153" spans="1:15" x14ac:dyDescent="0.2">
      <c r="B153" s="80"/>
      <c r="C153" s="80"/>
      <c r="D153" s="232" t="s">
        <v>154</v>
      </c>
      <c r="E153" s="233"/>
      <c r="F153" s="234"/>
      <c r="G153" s="79">
        <v>0</v>
      </c>
      <c r="H153" s="79">
        <v>0</v>
      </c>
      <c r="I153" s="81">
        <v>38609943</v>
      </c>
      <c r="J153" s="161">
        <v>42686290</v>
      </c>
      <c r="K153" s="81">
        <v>54323515</v>
      </c>
      <c r="L153" s="223">
        <v>58386325</v>
      </c>
      <c r="M153" s="162">
        <v>58386325</v>
      </c>
      <c r="N153" s="81">
        <v>61300549</v>
      </c>
      <c r="O153" s="14"/>
    </row>
    <row r="154" spans="1:15" x14ac:dyDescent="0.2">
      <c r="B154" s="98"/>
      <c r="C154" s="98"/>
      <c r="D154" s="249" t="s">
        <v>155</v>
      </c>
      <c r="E154" s="250"/>
      <c r="F154" s="251"/>
      <c r="G154" s="99">
        <v>0</v>
      </c>
      <c r="H154" s="99">
        <v>0</v>
      </c>
      <c r="I154" s="100">
        <v>404467</v>
      </c>
      <c r="J154" s="159">
        <v>471124</v>
      </c>
      <c r="K154" s="78">
        <v>543235</v>
      </c>
      <c r="L154" s="160">
        <v>583864</v>
      </c>
      <c r="M154" s="160">
        <v>583864</v>
      </c>
      <c r="N154" s="100">
        <v>613005</v>
      </c>
      <c r="O154" s="14"/>
    </row>
    <row r="155" spans="1:15" x14ac:dyDescent="0.2">
      <c r="A155" s="259" t="s">
        <v>156</v>
      </c>
      <c r="B155" s="259"/>
      <c r="C155" s="259"/>
      <c r="D155" s="259"/>
      <c r="E155" s="259"/>
      <c r="F155" s="259"/>
      <c r="G155" s="102">
        <f>G156+G841+G900+G906</f>
        <v>227706604</v>
      </c>
      <c r="H155" s="102">
        <f>H156+H841+H900+H906</f>
        <v>254265352</v>
      </c>
      <c r="I155" s="102">
        <f t="shared" ref="I155:K155" si="29">I156+I841+I900+I906</f>
        <v>287027526</v>
      </c>
      <c r="J155" s="102">
        <f t="shared" si="29"/>
        <v>300427823.03499997</v>
      </c>
      <c r="K155" s="102">
        <f t="shared" si="29"/>
        <v>323548048.83999997</v>
      </c>
      <c r="L155" s="102">
        <f>L156+L841+L900+L906</f>
        <v>333036574</v>
      </c>
      <c r="M155" s="102">
        <f>M156+M841+M900+M906</f>
        <v>332336917</v>
      </c>
      <c r="N155" s="102">
        <f>N156+N841+N900+N906</f>
        <v>354521743</v>
      </c>
    </row>
    <row r="156" spans="1:15" x14ac:dyDescent="0.2">
      <c r="B156" s="280" t="s">
        <v>157</v>
      </c>
      <c r="C156" s="280"/>
      <c r="D156" s="280"/>
      <c r="E156" s="280"/>
      <c r="F156" s="280"/>
      <c r="G156" s="101">
        <f t="shared" ref="G156:N156" si="30">G157+G169+G181+G315+G361+G371+G387+G404+G410+G438+G483+G499+G663+G712+G771</f>
        <v>124883678</v>
      </c>
      <c r="H156" s="101">
        <f t="shared" si="30"/>
        <v>142875285</v>
      </c>
      <c r="I156" s="101">
        <f t="shared" si="30"/>
        <v>157720060</v>
      </c>
      <c r="J156" s="101">
        <f t="shared" si="30"/>
        <v>170059424.02500001</v>
      </c>
      <c r="K156" s="101">
        <f t="shared" si="30"/>
        <v>184512574.82999998</v>
      </c>
      <c r="L156" s="101">
        <f t="shared" si="30"/>
        <v>189338054</v>
      </c>
      <c r="M156" s="101">
        <f t="shared" si="30"/>
        <v>192115654</v>
      </c>
      <c r="N156" s="101">
        <f t="shared" si="30"/>
        <v>198844757</v>
      </c>
    </row>
    <row r="157" spans="1:15" x14ac:dyDescent="0.2">
      <c r="B157" s="77"/>
      <c r="C157" s="263" t="s">
        <v>343</v>
      </c>
      <c r="D157" s="263"/>
      <c r="E157" s="263"/>
      <c r="F157" s="263"/>
      <c r="G157" s="76">
        <f>G158</f>
        <v>532032</v>
      </c>
      <c r="H157" s="76">
        <f t="shared" ref="H157:N157" si="31">H158</f>
        <v>514970</v>
      </c>
      <c r="I157" s="76">
        <f t="shared" si="31"/>
        <v>592974</v>
      </c>
      <c r="J157" s="76">
        <f t="shared" si="31"/>
        <v>541314.16</v>
      </c>
      <c r="K157" s="76">
        <f t="shared" si="31"/>
        <v>647967.97</v>
      </c>
      <c r="L157" s="76">
        <f t="shared" si="31"/>
        <v>745848</v>
      </c>
      <c r="M157" s="76">
        <f t="shared" si="31"/>
        <v>693906</v>
      </c>
      <c r="N157" s="76">
        <f t="shared" si="31"/>
        <v>934969</v>
      </c>
    </row>
    <row r="158" spans="1:15" x14ac:dyDescent="0.2">
      <c r="B158" s="60"/>
      <c r="C158" s="59"/>
      <c r="D158" s="138" t="s">
        <v>158</v>
      </c>
      <c r="E158" s="59"/>
      <c r="F158" s="137"/>
      <c r="G158" s="61">
        <f>G159+G162+G164</f>
        <v>532032</v>
      </c>
      <c r="H158" s="61">
        <f t="shared" ref="H158:N158" si="32">H159+H162+H164</f>
        <v>514970</v>
      </c>
      <c r="I158" s="61">
        <f t="shared" si="32"/>
        <v>592974</v>
      </c>
      <c r="J158" s="61">
        <f t="shared" si="32"/>
        <v>541314.16</v>
      </c>
      <c r="K158" s="61">
        <f t="shared" si="32"/>
        <v>647967.97</v>
      </c>
      <c r="L158" s="61">
        <f t="shared" si="32"/>
        <v>745848</v>
      </c>
      <c r="M158" s="61">
        <f t="shared" si="32"/>
        <v>693906</v>
      </c>
      <c r="N158" s="61">
        <f t="shared" si="32"/>
        <v>934969</v>
      </c>
    </row>
    <row r="159" spans="1:15" x14ac:dyDescent="0.2">
      <c r="B159" s="60"/>
      <c r="C159" s="59"/>
      <c r="D159" s="59"/>
      <c r="E159" s="263" t="s">
        <v>159</v>
      </c>
      <c r="F159" s="263"/>
      <c r="G159" s="66">
        <f>SUM(G160:G161)</f>
        <v>523740</v>
      </c>
      <c r="H159" s="66">
        <f t="shared" ref="H159:N159" si="33">SUM(H160:H161)</f>
        <v>508105</v>
      </c>
      <c r="I159" s="66">
        <f t="shared" si="33"/>
        <v>519000</v>
      </c>
      <c r="J159" s="66">
        <f t="shared" si="33"/>
        <v>529010.68000000005</v>
      </c>
      <c r="K159" s="66">
        <f t="shared" si="33"/>
        <v>568049.25</v>
      </c>
      <c r="L159" s="66">
        <f t="shared" si="33"/>
        <v>616248</v>
      </c>
      <c r="M159" s="66">
        <f t="shared" si="33"/>
        <v>642956</v>
      </c>
      <c r="N159" s="66">
        <f t="shared" si="33"/>
        <v>653769</v>
      </c>
    </row>
    <row r="160" spans="1:15" x14ac:dyDescent="0.2">
      <c r="B160" s="60"/>
      <c r="C160" s="59"/>
      <c r="D160" s="59"/>
      <c r="E160" s="59"/>
      <c r="F160" s="139" t="s">
        <v>160</v>
      </c>
      <c r="G160" s="105">
        <v>505151</v>
      </c>
      <c r="H160" s="57">
        <v>478043</v>
      </c>
      <c r="I160" s="57">
        <v>494388</v>
      </c>
      <c r="J160" s="57">
        <v>506311.03</v>
      </c>
      <c r="K160" s="57">
        <v>540860.17000000004</v>
      </c>
      <c r="L160" s="57">
        <v>556248</v>
      </c>
      <c r="M160" s="57">
        <v>616956</v>
      </c>
      <c r="N160" s="57">
        <v>653769</v>
      </c>
    </row>
    <row r="161" spans="2:14" x14ac:dyDescent="0.2">
      <c r="B161" s="60"/>
      <c r="C161" s="59"/>
      <c r="D161" s="59"/>
      <c r="E161" s="59"/>
      <c r="F161" s="139" t="s">
        <v>161</v>
      </c>
      <c r="G161" s="105">
        <v>18589</v>
      </c>
      <c r="H161" s="57">
        <v>30062</v>
      </c>
      <c r="I161" s="57">
        <v>24612</v>
      </c>
      <c r="J161" s="57">
        <v>22699.65</v>
      </c>
      <c r="K161" s="57">
        <v>27189.08</v>
      </c>
      <c r="L161" s="57">
        <v>60000</v>
      </c>
      <c r="M161" s="57">
        <v>26000</v>
      </c>
      <c r="N161" s="57">
        <v>0</v>
      </c>
    </row>
    <row r="162" spans="2:14" x14ac:dyDescent="0.2">
      <c r="B162" s="60"/>
      <c r="C162" s="59"/>
      <c r="D162" s="59"/>
      <c r="E162" s="261" t="s">
        <v>162</v>
      </c>
      <c r="F162" s="261"/>
      <c r="G162" s="70">
        <f>G163</f>
        <v>0</v>
      </c>
      <c r="H162" s="70">
        <f t="shared" ref="H162:N162" si="34">H163</f>
        <v>0</v>
      </c>
      <c r="I162" s="70">
        <f t="shared" si="34"/>
        <v>3958</v>
      </c>
      <c r="J162" s="70">
        <f t="shared" si="34"/>
        <v>0</v>
      </c>
      <c r="K162" s="70">
        <f t="shared" si="34"/>
        <v>7792.28</v>
      </c>
      <c r="L162" s="70">
        <f t="shared" si="34"/>
        <v>0</v>
      </c>
      <c r="M162" s="70">
        <f t="shared" si="34"/>
        <v>0</v>
      </c>
      <c r="N162" s="70">
        <f t="shared" si="34"/>
        <v>0</v>
      </c>
    </row>
    <row r="163" spans="2:14" x14ac:dyDescent="0.2">
      <c r="B163" s="60"/>
      <c r="C163" s="59"/>
      <c r="D163" s="59"/>
      <c r="E163" s="59"/>
      <c r="F163" s="139" t="s">
        <v>163</v>
      </c>
      <c r="G163" s="105">
        <v>0</v>
      </c>
      <c r="H163" s="63">
        <v>0</v>
      </c>
      <c r="I163" s="63">
        <v>3958</v>
      </c>
      <c r="J163" s="63">
        <v>0</v>
      </c>
      <c r="K163" s="63">
        <v>7792.28</v>
      </c>
      <c r="L163" s="63">
        <v>0</v>
      </c>
      <c r="M163" s="57">
        <v>0</v>
      </c>
      <c r="N163" s="63">
        <v>0</v>
      </c>
    </row>
    <row r="164" spans="2:14" x14ac:dyDescent="0.2">
      <c r="B164" s="60"/>
      <c r="C164" s="59"/>
      <c r="D164" s="59"/>
      <c r="E164" s="261" t="s">
        <v>164</v>
      </c>
      <c r="F164" s="261"/>
      <c r="G164" s="58">
        <f>SUM(G165:G168)</f>
        <v>8292</v>
      </c>
      <c r="H164" s="58">
        <f t="shared" ref="H164:K164" si="35">SUM(H165:H168)</f>
        <v>6865</v>
      </c>
      <c r="I164" s="58">
        <f t="shared" si="35"/>
        <v>70016</v>
      </c>
      <c r="J164" s="58">
        <f t="shared" si="35"/>
        <v>12303.48</v>
      </c>
      <c r="K164" s="58">
        <f t="shared" si="35"/>
        <v>72126.44</v>
      </c>
      <c r="L164" s="58">
        <f>SUM(L165:L168)</f>
        <v>129600</v>
      </c>
      <c r="M164" s="58">
        <f t="shared" ref="M164" si="36">SUM(M165:M168)</f>
        <v>50950</v>
      </c>
      <c r="N164" s="58">
        <f t="shared" ref="N164" si="37">SUM(N165:N168)</f>
        <v>281200</v>
      </c>
    </row>
    <row r="165" spans="2:14" x14ac:dyDescent="0.2">
      <c r="B165" s="60"/>
      <c r="C165" s="59"/>
      <c r="D165" s="59"/>
      <c r="E165" s="59"/>
      <c r="F165" s="139" t="s">
        <v>165</v>
      </c>
      <c r="G165" s="105">
        <v>2854</v>
      </c>
      <c r="H165" s="63">
        <v>3470</v>
      </c>
      <c r="I165" s="63">
        <v>3705</v>
      </c>
      <c r="J165" s="63">
        <v>3848</v>
      </c>
      <c r="K165" s="63">
        <v>5746.93</v>
      </c>
      <c r="L165" s="63">
        <v>7700</v>
      </c>
      <c r="M165" s="57">
        <v>11900</v>
      </c>
      <c r="N165" s="63">
        <v>10500</v>
      </c>
    </row>
    <row r="166" spans="2:14" x14ac:dyDescent="0.2">
      <c r="B166" s="60"/>
      <c r="C166" s="59"/>
      <c r="D166" s="59"/>
      <c r="E166" s="59"/>
      <c r="F166" s="139" t="s">
        <v>166</v>
      </c>
      <c r="G166" s="105">
        <v>16</v>
      </c>
      <c r="H166" s="57">
        <v>487</v>
      </c>
      <c r="I166" s="57">
        <v>62747</v>
      </c>
      <c r="J166" s="63">
        <f>1753.48</f>
        <v>1753.48</v>
      </c>
      <c r="K166" s="57">
        <v>903.7</v>
      </c>
      <c r="L166" s="57">
        <v>2540</v>
      </c>
      <c r="M166" s="57">
        <v>2250</v>
      </c>
      <c r="N166" s="57">
        <v>33100</v>
      </c>
    </row>
    <row r="167" spans="2:14" x14ac:dyDescent="0.2">
      <c r="B167" s="60"/>
      <c r="C167" s="59"/>
      <c r="D167" s="59"/>
      <c r="E167" s="59"/>
      <c r="F167" s="139" t="s">
        <v>167</v>
      </c>
      <c r="G167" s="105">
        <v>5422</v>
      </c>
      <c r="H167" s="57">
        <v>2636</v>
      </c>
      <c r="I167" s="57">
        <v>2749</v>
      </c>
      <c r="J167" s="57">
        <v>5178</v>
      </c>
      <c r="K167" s="57">
        <v>64016.43</v>
      </c>
      <c r="L167" s="57">
        <v>108860</v>
      </c>
      <c r="M167" s="57">
        <v>34000</v>
      </c>
      <c r="N167" s="57">
        <v>220000</v>
      </c>
    </row>
    <row r="168" spans="2:14" x14ac:dyDescent="0.2">
      <c r="B168" s="60"/>
      <c r="C168" s="59"/>
      <c r="D168" s="59"/>
      <c r="E168" s="59"/>
      <c r="F168" s="139" t="s">
        <v>168</v>
      </c>
      <c r="G168" s="105">
        <v>0</v>
      </c>
      <c r="H168" s="57">
        <v>272</v>
      </c>
      <c r="I168" s="57">
        <v>815</v>
      </c>
      <c r="J168" s="57">
        <f>729+795</f>
        <v>1524</v>
      </c>
      <c r="K168" s="57">
        <v>1459.38</v>
      </c>
      <c r="L168" s="57">
        <v>10500</v>
      </c>
      <c r="M168" s="57">
        <v>2800</v>
      </c>
      <c r="N168" s="57">
        <v>17600</v>
      </c>
    </row>
    <row r="169" spans="2:14" x14ac:dyDescent="0.2">
      <c r="B169" s="60"/>
      <c r="C169" s="138" t="s">
        <v>344</v>
      </c>
      <c r="D169" s="59"/>
      <c r="E169" s="59"/>
      <c r="F169" s="139"/>
      <c r="G169" s="64">
        <f>G170</f>
        <v>126421</v>
      </c>
      <c r="H169" s="64">
        <f t="shared" ref="H169:N169" si="38">H170</f>
        <v>116082</v>
      </c>
      <c r="I169" s="64">
        <f t="shared" si="38"/>
        <v>186849</v>
      </c>
      <c r="J169" s="64">
        <f t="shared" si="38"/>
        <v>259538.33000000002</v>
      </c>
      <c r="K169" s="64">
        <f t="shared" si="38"/>
        <v>103911.88</v>
      </c>
      <c r="L169" s="64">
        <f t="shared" si="38"/>
        <v>385804</v>
      </c>
      <c r="M169" s="64">
        <f t="shared" si="38"/>
        <v>273306</v>
      </c>
      <c r="N169" s="64">
        <f t="shared" si="38"/>
        <v>422852</v>
      </c>
    </row>
    <row r="170" spans="2:14" x14ac:dyDescent="0.2">
      <c r="B170" s="60"/>
      <c r="C170" s="59"/>
      <c r="D170" s="138" t="s">
        <v>169</v>
      </c>
      <c r="E170" s="59"/>
      <c r="F170" s="139"/>
      <c r="G170" s="64">
        <f>G171+G174+G176</f>
        <v>126421</v>
      </c>
      <c r="H170" s="64">
        <f t="shared" ref="H170:K170" si="39">H171+H174+H176</f>
        <v>116082</v>
      </c>
      <c r="I170" s="64">
        <f t="shared" si="39"/>
        <v>186849</v>
      </c>
      <c r="J170" s="64">
        <f t="shared" si="39"/>
        <v>259538.33000000002</v>
      </c>
      <c r="K170" s="64">
        <f t="shared" si="39"/>
        <v>103911.88</v>
      </c>
      <c r="L170" s="64">
        <f>L171+L174+L176</f>
        <v>385804</v>
      </c>
      <c r="M170" s="64">
        <f t="shared" ref="M170" si="40">M171+M174+M176</f>
        <v>273306</v>
      </c>
      <c r="N170" s="64">
        <f t="shared" ref="N170" si="41">N171+N174+N176</f>
        <v>422852</v>
      </c>
    </row>
    <row r="171" spans="2:14" x14ac:dyDescent="0.2">
      <c r="B171" s="60"/>
      <c r="C171" s="59"/>
      <c r="D171" s="59"/>
      <c r="E171" s="263" t="s">
        <v>159</v>
      </c>
      <c r="F171" s="263"/>
      <c r="G171" s="66">
        <f>SUM(G172:G173)</f>
        <v>101681</v>
      </c>
      <c r="H171" s="66">
        <f t="shared" ref="H171:N171" si="42">SUM(H172:H173)</f>
        <v>81359</v>
      </c>
      <c r="I171" s="66">
        <f t="shared" si="42"/>
        <v>145865</v>
      </c>
      <c r="J171" s="66">
        <f t="shared" si="42"/>
        <v>183059.63</v>
      </c>
      <c r="K171" s="66">
        <f t="shared" si="42"/>
        <v>67537.13</v>
      </c>
      <c r="L171" s="66">
        <f t="shared" si="42"/>
        <v>315304</v>
      </c>
      <c r="M171" s="66">
        <f t="shared" si="42"/>
        <v>236146</v>
      </c>
      <c r="N171" s="66">
        <f t="shared" si="42"/>
        <v>323577</v>
      </c>
    </row>
    <row r="172" spans="2:14" x14ac:dyDescent="0.2">
      <c r="B172" s="60"/>
      <c r="C172" s="59"/>
      <c r="D172" s="59"/>
      <c r="E172" s="59"/>
      <c r="F172" s="139" t="s">
        <v>160</v>
      </c>
      <c r="G172" s="105">
        <v>101681</v>
      </c>
      <c r="H172" s="57">
        <v>81359</v>
      </c>
      <c r="I172" s="57">
        <v>143720</v>
      </c>
      <c r="J172" s="57">
        <v>183007.94</v>
      </c>
      <c r="K172" s="57">
        <v>57187.13</v>
      </c>
      <c r="L172" s="57">
        <v>285304</v>
      </c>
      <c r="M172" s="57">
        <v>206146</v>
      </c>
      <c r="N172" s="57">
        <v>292477</v>
      </c>
    </row>
    <row r="173" spans="2:14" x14ac:dyDescent="0.2">
      <c r="B173" s="60"/>
      <c r="C173" s="59"/>
      <c r="D173" s="59"/>
      <c r="E173" s="59"/>
      <c r="F173" s="139" t="s">
        <v>161</v>
      </c>
      <c r="G173" s="105">
        <v>0</v>
      </c>
      <c r="H173" s="57">
        <v>0</v>
      </c>
      <c r="I173" s="57">
        <v>2145</v>
      </c>
      <c r="J173" s="57">
        <v>51.69</v>
      </c>
      <c r="K173" s="57">
        <v>10350</v>
      </c>
      <c r="L173" s="57">
        <v>30000</v>
      </c>
      <c r="M173" s="57">
        <v>30000</v>
      </c>
      <c r="N173" s="57">
        <v>31100</v>
      </c>
    </row>
    <row r="174" spans="2:14" x14ac:dyDescent="0.2">
      <c r="B174" s="60"/>
      <c r="C174" s="59"/>
      <c r="D174" s="59"/>
      <c r="E174" s="261" t="s">
        <v>162</v>
      </c>
      <c r="F174" s="261"/>
      <c r="G174" s="64">
        <f>G175</f>
        <v>0</v>
      </c>
      <c r="H174" s="64">
        <f t="shared" ref="H174:N174" si="43">H175</f>
        <v>0</v>
      </c>
      <c r="I174" s="64">
        <f t="shared" si="43"/>
        <v>0</v>
      </c>
      <c r="J174" s="64">
        <f t="shared" si="43"/>
        <v>1448.15</v>
      </c>
      <c r="K174" s="64">
        <f t="shared" si="43"/>
        <v>0</v>
      </c>
      <c r="L174" s="64">
        <f t="shared" si="43"/>
        <v>0</v>
      </c>
      <c r="M174" s="64">
        <f t="shared" si="43"/>
        <v>0</v>
      </c>
      <c r="N174" s="64">
        <f t="shared" si="43"/>
        <v>0</v>
      </c>
    </row>
    <row r="175" spans="2:14" x14ac:dyDescent="0.2">
      <c r="B175" s="60"/>
      <c r="C175" s="59"/>
      <c r="D175" s="59"/>
      <c r="E175" s="59"/>
      <c r="F175" s="139" t="s">
        <v>163</v>
      </c>
      <c r="G175" s="105">
        <v>0</v>
      </c>
      <c r="H175" s="57">
        <v>0</v>
      </c>
      <c r="I175" s="57">
        <v>0</v>
      </c>
      <c r="J175" s="57">
        <f>1448.15</f>
        <v>1448.15</v>
      </c>
      <c r="K175" s="57">
        <v>0</v>
      </c>
      <c r="L175" s="57">
        <v>0</v>
      </c>
      <c r="M175" s="57">
        <v>0</v>
      </c>
      <c r="N175" s="57">
        <v>0</v>
      </c>
    </row>
    <row r="176" spans="2:14" x14ac:dyDescent="0.2">
      <c r="B176" s="60"/>
      <c r="C176" s="59"/>
      <c r="D176" s="59"/>
      <c r="E176" s="261" t="s">
        <v>170</v>
      </c>
      <c r="F176" s="261"/>
      <c r="G176" s="67">
        <f>SUM(G177:G180)</f>
        <v>24740</v>
      </c>
      <c r="H176" s="67">
        <f t="shared" ref="H176:N176" si="44">SUM(H177:H180)</f>
        <v>34723</v>
      </c>
      <c r="I176" s="67">
        <f t="shared" si="44"/>
        <v>40984</v>
      </c>
      <c r="J176" s="67">
        <f t="shared" si="44"/>
        <v>75030.55</v>
      </c>
      <c r="K176" s="67">
        <f t="shared" si="44"/>
        <v>36374.75</v>
      </c>
      <c r="L176" s="67">
        <f t="shared" si="44"/>
        <v>70500</v>
      </c>
      <c r="M176" s="67">
        <f t="shared" si="44"/>
        <v>37160</v>
      </c>
      <c r="N176" s="67">
        <f t="shared" si="44"/>
        <v>99275</v>
      </c>
    </row>
    <row r="177" spans="2:15" x14ac:dyDescent="0.2">
      <c r="B177" s="60"/>
      <c r="C177" s="59"/>
      <c r="D177" s="59"/>
      <c r="E177" s="59"/>
      <c r="F177" s="139" t="s">
        <v>165</v>
      </c>
      <c r="G177" s="105">
        <v>1566</v>
      </c>
      <c r="H177" s="57">
        <v>2179</v>
      </c>
      <c r="I177" s="57">
        <v>3103</v>
      </c>
      <c r="J177" s="57">
        <f>2379.65+1482.57</f>
        <v>3862.2200000000003</v>
      </c>
      <c r="K177" s="57">
        <v>3150.4700000000003</v>
      </c>
      <c r="L177" s="57">
        <v>3500</v>
      </c>
      <c r="M177" s="57">
        <v>2700</v>
      </c>
      <c r="N177" s="57">
        <v>3500</v>
      </c>
    </row>
    <row r="178" spans="2:15" x14ac:dyDescent="0.2">
      <c r="B178" s="60"/>
      <c r="C178" s="59"/>
      <c r="D178" s="59"/>
      <c r="E178" s="59"/>
      <c r="F178" s="139" t="s">
        <v>166</v>
      </c>
      <c r="G178" s="105">
        <v>553</v>
      </c>
      <c r="H178" s="57">
        <v>2899</v>
      </c>
      <c r="I178" s="57">
        <v>7350</v>
      </c>
      <c r="J178" s="57">
        <f>6678.67+2947.19+3649.27+2966.56</f>
        <v>16241.69</v>
      </c>
      <c r="K178" s="57">
        <v>1443.35</v>
      </c>
      <c r="L178" s="57">
        <v>27625</v>
      </c>
      <c r="M178" s="57">
        <v>5460</v>
      </c>
      <c r="N178" s="57">
        <v>27325</v>
      </c>
    </row>
    <row r="179" spans="2:15" x14ac:dyDescent="0.2">
      <c r="B179" s="60"/>
      <c r="C179" s="59"/>
      <c r="D179" s="59"/>
      <c r="E179" s="59"/>
      <c r="F179" s="139" t="s">
        <v>167</v>
      </c>
      <c r="G179" s="105">
        <v>20215</v>
      </c>
      <c r="H179" s="57">
        <v>28676</v>
      </c>
      <c r="I179" s="57">
        <v>22691</v>
      </c>
      <c r="J179" s="57">
        <f>51299.64</f>
        <v>51299.64</v>
      </c>
      <c r="K179" s="74">
        <v>28945.88</v>
      </c>
      <c r="L179" s="74">
        <v>18410</v>
      </c>
      <c r="M179" s="57">
        <v>27000</v>
      </c>
      <c r="N179" s="74">
        <v>47450</v>
      </c>
    </row>
    <row r="180" spans="2:15" x14ac:dyDescent="0.2">
      <c r="B180" s="60"/>
      <c r="C180" s="59"/>
      <c r="D180" s="59"/>
      <c r="E180" s="59"/>
      <c r="F180" s="139" t="s">
        <v>168</v>
      </c>
      <c r="G180" s="105">
        <v>2406</v>
      </c>
      <c r="H180" s="57">
        <v>969</v>
      </c>
      <c r="I180" s="57">
        <v>7840</v>
      </c>
      <c r="J180" s="57">
        <v>3627</v>
      </c>
      <c r="K180" s="57">
        <v>2835.05</v>
      </c>
      <c r="L180" s="57">
        <v>20965</v>
      </c>
      <c r="M180" s="57">
        <v>2000</v>
      </c>
      <c r="N180" s="57">
        <v>21000</v>
      </c>
    </row>
    <row r="181" spans="2:15" x14ac:dyDescent="0.2">
      <c r="B181" s="60"/>
      <c r="C181" s="270" t="s">
        <v>171</v>
      </c>
      <c r="D181" s="270"/>
      <c r="E181" s="270"/>
      <c r="F181" s="270"/>
      <c r="G181" s="64">
        <f t="shared" ref="G181:N181" si="45">G182+G198+G201+G214+G226+G239+G249+G256+G267+G283+G295+G300</f>
        <v>4404024</v>
      </c>
      <c r="H181" s="64">
        <f t="shared" si="45"/>
        <v>5295162</v>
      </c>
      <c r="I181" s="64">
        <f t="shared" si="45"/>
        <v>7169928</v>
      </c>
      <c r="J181" s="64">
        <f t="shared" si="45"/>
        <v>8915124.7249999996</v>
      </c>
      <c r="K181" s="64">
        <f t="shared" si="45"/>
        <v>10388905.970000001</v>
      </c>
      <c r="L181" s="64">
        <f t="shared" si="45"/>
        <v>9674830</v>
      </c>
      <c r="M181" s="64">
        <f t="shared" si="45"/>
        <v>9426300</v>
      </c>
      <c r="N181" s="64">
        <f t="shared" si="45"/>
        <v>10941967</v>
      </c>
    </row>
    <row r="182" spans="2:15" x14ac:dyDescent="0.2">
      <c r="B182" s="60"/>
      <c r="C182" s="59"/>
      <c r="D182" s="270" t="s">
        <v>345</v>
      </c>
      <c r="E182" s="270"/>
      <c r="F182" s="270"/>
      <c r="G182" s="64">
        <f>G183+G188+G190</f>
        <v>602204</v>
      </c>
      <c r="H182" s="64">
        <f t="shared" ref="H182:L182" si="46">H183+H188+H190</f>
        <v>439843</v>
      </c>
      <c r="I182" s="64">
        <f t="shared" si="46"/>
        <v>780940</v>
      </c>
      <c r="J182" s="64">
        <f t="shared" si="46"/>
        <v>925639.73999999987</v>
      </c>
      <c r="K182" s="64">
        <f t="shared" si="46"/>
        <v>971657.10000000009</v>
      </c>
      <c r="L182" s="64">
        <f t="shared" si="46"/>
        <v>981358</v>
      </c>
      <c r="M182" s="64">
        <f>M183+M188+M190</f>
        <v>1112874</v>
      </c>
      <c r="N182" s="64">
        <f t="shared" ref="N182" si="47">N183+N188+N190</f>
        <v>970783</v>
      </c>
      <c r="O182" s="12" t="s">
        <v>543</v>
      </c>
    </row>
    <row r="183" spans="2:15" x14ac:dyDescent="0.2">
      <c r="B183" s="60"/>
      <c r="C183" s="59"/>
      <c r="D183" s="59"/>
      <c r="E183" s="263" t="s">
        <v>159</v>
      </c>
      <c r="F183" s="263"/>
      <c r="G183" s="64">
        <f>SUM(G184:G187)</f>
        <v>598215</v>
      </c>
      <c r="H183" s="64">
        <f t="shared" ref="H183:N183" si="48">SUM(H184:H187)</f>
        <v>416032</v>
      </c>
      <c r="I183" s="64">
        <f t="shared" si="48"/>
        <v>653074</v>
      </c>
      <c r="J183" s="64">
        <f t="shared" si="48"/>
        <v>718327.87999999989</v>
      </c>
      <c r="K183" s="64">
        <f t="shared" si="48"/>
        <v>714635.41</v>
      </c>
      <c r="L183" s="64">
        <f t="shared" si="48"/>
        <v>759456</v>
      </c>
      <c r="M183" s="64">
        <f t="shared" si="48"/>
        <v>903709</v>
      </c>
      <c r="N183" s="64">
        <f t="shared" si="48"/>
        <v>760295</v>
      </c>
    </row>
    <row r="184" spans="2:15" x14ac:dyDescent="0.2">
      <c r="B184" s="60"/>
      <c r="C184" s="59"/>
      <c r="D184" s="59"/>
      <c r="E184" s="59"/>
      <c r="F184" s="139" t="s">
        <v>160</v>
      </c>
      <c r="G184" s="105">
        <v>595319</v>
      </c>
      <c r="H184" s="57">
        <v>599301</v>
      </c>
      <c r="I184" s="57">
        <v>713351</v>
      </c>
      <c r="J184" s="57">
        <v>783754.44</v>
      </c>
      <c r="K184" s="57">
        <v>781002.48</v>
      </c>
      <c r="L184" s="57">
        <v>807519</v>
      </c>
      <c r="M184" s="57">
        <v>903709</v>
      </c>
      <c r="N184" s="57">
        <v>760295</v>
      </c>
    </row>
    <row r="185" spans="2:15" x14ac:dyDescent="0.2">
      <c r="B185" s="60"/>
      <c r="C185" s="59"/>
      <c r="D185" s="59"/>
      <c r="E185" s="59"/>
      <c r="F185" s="139" t="s">
        <v>172</v>
      </c>
      <c r="G185" s="105">
        <v>3532</v>
      </c>
      <c r="H185" s="57">
        <v>0</v>
      </c>
      <c r="I185" s="57">
        <v>0</v>
      </c>
      <c r="J185" s="57">
        <v>0</v>
      </c>
      <c r="K185" s="57">
        <v>0</v>
      </c>
      <c r="L185" s="57">
        <v>0</v>
      </c>
      <c r="M185" s="57">
        <v>0</v>
      </c>
      <c r="N185" s="57">
        <v>0</v>
      </c>
    </row>
    <row r="186" spans="2:15" x14ac:dyDescent="0.2">
      <c r="B186" s="60"/>
      <c r="C186" s="59"/>
      <c r="D186" s="59"/>
      <c r="E186" s="59"/>
      <c r="F186" s="139" t="s">
        <v>173</v>
      </c>
      <c r="G186" s="105">
        <v>-636</v>
      </c>
      <c r="H186" s="105">
        <v>0</v>
      </c>
      <c r="I186" s="105">
        <v>0</v>
      </c>
      <c r="J186" s="105">
        <v>0</v>
      </c>
      <c r="K186" s="57">
        <v>-1357.6</v>
      </c>
      <c r="L186" s="57">
        <v>0</v>
      </c>
      <c r="M186" s="105">
        <v>0</v>
      </c>
      <c r="N186" s="57">
        <v>0</v>
      </c>
    </row>
    <row r="187" spans="2:15" x14ac:dyDescent="0.2">
      <c r="B187" s="60"/>
      <c r="C187" s="59"/>
      <c r="D187" s="59"/>
      <c r="E187" s="59"/>
      <c r="F187" s="139" t="s">
        <v>174</v>
      </c>
      <c r="G187" s="105">
        <v>0</v>
      </c>
      <c r="H187" s="57">
        <v>-183269</v>
      </c>
      <c r="I187" s="57">
        <v>-60277</v>
      </c>
      <c r="J187" s="57">
        <f>-65426.56</f>
        <v>-65426.559999999998</v>
      </c>
      <c r="K187" s="57">
        <v>-65009.47</v>
      </c>
      <c r="L187" s="57">
        <v>-48063</v>
      </c>
      <c r="M187" s="57">
        <v>0</v>
      </c>
      <c r="N187" s="57">
        <v>0</v>
      </c>
    </row>
    <row r="188" spans="2:15" x14ac:dyDescent="0.2">
      <c r="B188" s="60"/>
      <c r="C188" s="59"/>
      <c r="D188" s="59"/>
      <c r="E188" s="138" t="s">
        <v>162</v>
      </c>
      <c r="F188" s="139"/>
      <c r="G188" s="109">
        <f>G189</f>
        <v>0</v>
      </c>
      <c r="H188" s="109">
        <f t="shared" ref="H188:N188" si="49">H189</f>
        <v>0</v>
      </c>
      <c r="I188" s="109">
        <f t="shared" si="49"/>
        <v>0</v>
      </c>
      <c r="J188" s="109">
        <f t="shared" si="49"/>
        <v>0</v>
      </c>
      <c r="K188" s="109">
        <f t="shared" si="49"/>
        <v>0</v>
      </c>
      <c r="L188" s="109">
        <f t="shared" si="49"/>
        <v>0</v>
      </c>
      <c r="M188" s="109">
        <f t="shared" si="49"/>
        <v>4480</v>
      </c>
      <c r="N188" s="109">
        <f t="shared" si="49"/>
        <v>0</v>
      </c>
    </row>
    <row r="189" spans="2:15" x14ac:dyDescent="0.2">
      <c r="B189" s="60"/>
      <c r="C189" s="59"/>
      <c r="D189" s="59"/>
      <c r="E189" s="59"/>
      <c r="F189" s="139" t="s">
        <v>163</v>
      </c>
      <c r="G189" s="105">
        <v>0</v>
      </c>
      <c r="H189" s="57">
        <v>0</v>
      </c>
      <c r="I189" s="57">
        <v>0</v>
      </c>
      <c r="J189" s="57">
        <v>0</v>
      </c>
      <c r="K189" s="57">
        <v>0</v>
      </c>
      <c r="L189" s="57">
        <v>0</v>
      </c>
      <c r="M189" s="57">
        <v>4480</v>
      </c>
      <c r="N189" s="57">
        <v>0</v>
      </c>
    </row>
    <row r="190" spans="2:15" x14ac:dyDescent="0.2">
      <c r="B190" s="60"/>
      <c r="C190" s="59"/>
      <c r="D190" s="59"/>
      <c r="E190" s="261" t="s">
        <v>170</v>
      </c>
      <c r="F190" s="261"/>
      <c r="G190" s="61">
        <f>SUM(G191:G197)</f>
        <v>3989</v>
      </c>
      <c r="H190" s="61">
        <f t="shared" ref="H190:N190" si="50">SUM(H191:H197)</f>
        <v>23811</v>
      </c>
      <c r="I190" s="61">
        <f t="shared" si="50"/>
        <v>127866</v>
      </c>
      <c r="J190" s="61">
        <f t="shared" si="50"/>
        <v>207311.86</v>
      </c>
      <c r="K190" s="61">
        <f t="shared" si="50"/>
        <v>257021.69</v>
      </c>
      <c r="L190" s="61">
        <f t="shared" si="50"/>
        <v>221902</v>
      </c>
      <c r="M190" s="61">
        <f t="shared" si="50"/>
        <v>204685</v>
      </c>
      <c r="N190" s="61">
        <f t="shared" si="50"/>
        <v>210488</v>
      </c>
    </row>
    <row r="191" spans="2:15" x14ac:dyDescent="0.2">
      <c r="B191" s="60"/>
      <c r="C191" s="59"/>
      <c r="D191" s="59"/>
      <c r="E191" s="59"/>
      <c r="F191" s="139" t="s">
        <v>165</v>
      </c>
      <c r="G191" s="105">
        <v>3506</v>
      </c>
      <c r="H191" s="57">
        <v>5237</v>
      </c>
      <c r="I191" s="57">
        <v>5347</v>
      </c>
      <c r="J191" s="57">
        <f>4459.67+767.91</f>
        <v>5227.58</v>
      </c>
      <c r="K191" s="57">
        <v>5973.1900000000005</v>
      </c>
      <c r="L191" s="57">
        <v>13000</v>
      </c>
      <c r="M191" s="57">
        <v>7900</v>
      </c>
      <c r="N191" s="57">
        <v>8100</v>
      </c>
    </row>
    <row r="192" spans="2:15" x14ac:dyDescent="0.2">
      <c r="B192" s="60"/>
      <c r="C192" s="59"/>
      <c r="D192" s="59"/>
      <c r="E192" s="59"/>
      <c r="F192" s="139" t="s">
        <v>166</v>
      </c>
      <c r="G192" s="105">
        <v>383</v>
      </c>
      <c r="H192" s="57">
        <v>937</v>
      </c>
      <c r="I192" s="57">
        <v>7909</v>
      </c>
      <c r="J192" s="57">
        <f>2471.92+120</f>
        <v>2591.92</v>
      </c>
      <c r="K192" s="57">
        <v>3192.03</v>
      </c>
      <c r="L192" s="57">
        <v>7800</v>
      </c>
      <c r="M192" s="57">
        <v>2090</v>
      </c>
      <c r="N192" s="57">
        <v>4100</v>
      </c>
    </row>
    <row r="193" spans="2:15" x14ac:dyDescent="0.2">
      <c r="B193" s="60"/>
      <c r="C193" s="59"/>
      <c r="D193" s="59"/>
      <c r="E193" s="59"/>
      <c r="F193" s="139" t="s">
        <v>167</v>
      </c>
      <c r="G193" s="105">
        <v>0</v>
      </c>
      <c r="H193" s="57">
        <v>12500</v>
      </c>
      <c r="I193" s="57">
        <v>5300</v>
      </c>
      <c r="J193" s="57">
        <v>0</v>
      </c>
      <c r="K193" s="57">
        <v>0</v>
      </c>
      <c r="L193" s="57">
        <v>0</v>
      </c>
      <c r="M193" s="57">
        <v>0</v>
      </c>
      <c r="N193" s="57">
        <v>0</v>
      </c>
    </row>
    <row r="194" spans="2:15" x14ac:dyDescent="0.2">
      <c r="B194" s="60"/>
      <c r="C194" s="59"/>
      <c r="D194" s="59"/>
      <c r="E194" s="59"/>
      <c r="F194" s="139" t="s">
        <v>168</v>
      </c>
      <c r="G194" s="105">
        <v>100</v>
      </c>
      <c r="H194" s="57">
        <v>5137</v>
      </c>
      <c r="I194" s="57">
        <v>14131</v>
      </c>
      <c r="J194" s="57">
        <f>15403.5+730+640</f>
        <v>16773.5</v>
      </c>
      <c r="K194" s="57">
        <v>13529.47</v>
      </c>
      <c r="L194" s="57">
        <v>20120</v>
      </c>
      <c r="M194" s="57">
        <v>2250</v>
      </c>
      <c r="N194" s="57">
        <v>8250</v>
      </c>
    </row>
    <row r="195" spans="2:15" x14ac:dyDescent="0.2">
      <c r="B195" s="60"/>
      <c r="C195" s="59"/>
      <c r="D195" s="59"/>
      <c r="E195" s="59"/>
      <c r="F195" s="139" t="s">
        <v>175</v>
      </c>
      <c r="G195" s="105">
        <v>0</v>
      </c>
      <c r="H195" s="57">
        <v>0</v>
      </c>
      <c r="I195" s="57">
        <v>166683</v>
      </c>
      <c r="J195" s="57">
        <v>285389.74</v>
      </c>
      <c r="K195" s="57">
        <v>234327</v>
      </c>
      <c r="L195" s="57">
        <v>180982</v>
      </c>
      <c r="M195" s="57">
        <v>192445</v>
      </c>
      <c r="N195" s="57">
        <v>190038</v>
      </c>
    </row>
    <row r="196" spans="2:15" x14ac:dyDescent="0.2">
      <c r="B196" s="60"/>
      <c r="C196" s="59"/>
      <c r="D196" s="59"/>
      <c r="E196" s="59"/>
      <c r="F196" s="139" t="s">
        <v>176</v>
      </c>
      <c r="G196" s="105">
        <v>0</v>
      </c>
      <c r="H196" s="57">
        <v>0</v>
      </c>
      <c r="I196" s="57">
        <v>125</v>
      </c>
      <c r="J196" s="57">
        <v>0</v>
      </c>
      <c r="K196" s="57">
        <v>0</v>
      </c>
      <c r="L196" s="57">
        <v>0</v>
      </c>
      <c r="M196" s="57">
        <v>0</v>
      </c>
      <c r="N196" s="57">
        <v>0</v>
      </c>
    </row>
    <row r="197" spans="2:15" x14ac:dyDescent="0.2">
      <c r="B197" s="60"/>
      <c r="C197" s="59"/>
      <c r="D197" s="59"/>
      <c r="E197" s="59"/>
      <c r="F197" s="139" t="s">
        <v>177</v>
      </c>
      <c r="G197" s="105">
        <v>0</v>
      </c>
      <c r="H197" s="57">
        <v>0</v>
      </c>
      <c r="I197" s="57">
        <v>-71629</v>
      </c>
      <c r="J197" s="57">
        <v>-102670.88</v>
      </c>
      <c r="K197" s="57">
        <v>0</v>
      </c>
      <c r="L197" s="57">
        <v>0</v>
      </c>
      <c r="M197" s="57">
        <v>0</v>
      </c>
      <c r="N197" s="57">
        <v>0</v>
      </c>
    </row>
    <row r="198" spans="2:15" x14ac:dyDescent="0.2">
      <c r="B198" s="60"/>
      <c r="C198" s="59"/>
      <c r="D198" s="270" t="s">
        <v>346</v>
      </c>
      <c r="E198" s="270"/>
      <c r="F198" s="270"/>
      <c r="G198" s="64">
        <f>G199</f>
        <v>100023</v>
      </c>
      <c r="H198" s="64">
        <f t="shared" ref="H198:N198" si="51">H199</f>
        <v>104075</v>
      </c>
      <c r="I198" s="64">
        <f t="shared" si="51"/>
        <v>112137</v>
      </c>
      <c r="J198" s="64">
        <f t="shared" si="51"/>
        <v>137630.64000000001</v>
      </c>
      <c r="K198" s="64">
        <f t="shared" si="51"/>
        <v>181913.54</v>
      </c>
      <c r="L198" s="64">
        <f t="shared" si="51"/>
        <v>148374</v>
      </c>
      <c r="M198" s="64">
        <f t="shared" si="51"/>
        <v>155992</v>
      </c>
      <c r="N198" s="64">
        <f t="shared" si="51"/>
        <v>145558</v>
      </c>
    </row>
    <row r="199" spans="2:15" x14ac:dyDescent="0.2">
      <c r="B199" s="60"/>
      <c r="C199" s="59"/>
      <c r="D199" s="59"/>
      <c r="E199" s="268" t="s">
        <v>159</v>
      </c>
      <c r="F199" s="268"/>
      <c r="G199" s="68">
        <f>G200</f>
        <v>100023</v>
      </c>
      <c r="H199" s="68">
        <f t="shared" ref="H199:N199" si="52">H200</f>
        <v>104075</v>
      </c>
      <c r="I199" s="68">
        <f t="shared" si="52"/>
        <v>112137</v>
      </c>
      <c r="J199" s="68">
        <f t="shared" si="52"/>
        <v>137630.64000000001</v>
      </c>
      <c r="K199" s="68">
        <f t="shared" si="52"/>
        <v>181913.54</v>
      </c>
      <c r="L199" s="68">
        <f t="shared" si="52"/>
        <v>148374</v>
      </c>
      <c r="M199" s="68">
        <f t="shared" si="52"/>
        <v>155992</v>
      </c>
      <c r="N199" s="68">
        <f t="shared" si="52"/>
        <v>145558</v>
      </c>
    </row>
    <row r="200" spans="2:15" x14ac:dyDescent="0.2">
      <c r="B200" s="60"/>
      <c r="C200" s="59"/>
      <c r="D200" s="59"/>
      <c r="E200" s="59"/>
      <c r="F200" s="139" t="s">
        <v>160</v>
      </c>
      <c r="G200" s="105">
        <v>100023</v>
      </c>
      <c r="H200" s="57">
        <v>104075</v>
      </c>
      <c r="I200" s="57">
        <v>112137</v>
      </c>
      <c r="J200" s="57">
        <f>137630.64</f>
        <v>137630.64000000001</v>
      </c>
      <c r="K200" s="57">
        <v>181913.54</v>
      </c>
      <c r="L200" s="57">
        <v>148374</v>
      </c>
      <c r="M200" s="57">
        <v>155992</v>
      </c>
      <c r="N200" s="57">
        <v>145558</v>
      </c>
    </row>
    <row r="201" spans="2:15" x14ac:dyDescent="0.2">
      <c r="B201" s="60"/>
      <c r="C201" s="59"/>
      <c r="D201" s="138" t="s">
        <v>347</v>
      </c>
      <c r="E201" s="59"/>
      <c r="F201" s="139"/>
      <c r="G201" s="64">
        <f>G202+G206</f>
        <v>0</v>
      </c>
      <c r="H201" s="64">
        <f t="shared" ref="H201:N201" si="53">H202+H206</f>
        <v>0</v>
      </c>
      <c r="I201" s="64">
        <f t="shared" si="53"/>
        <v>0</v>
      </c>
      <c r="J201" s="64">
        <f t="shared" si="53"/>
        <v>453638.92000000004</v>
      </c>
      <c r="K201" s="64">
        <f t="shared" si="53"/>
        <v>179081.70999999996</v>
      </c>
      <c r="L201" s="64">
        <f t="shared" si="53"/>
        <v>245540</v>
      </c>
      <c r="M201" s="64">
        <f t="shared" si="53"/>
        <v>256278</v>
      </c>
      <c r="N201" s="64">
        <f t="shared" si="53"/>
        <v>390901</v>
      </c>
      <c r="O201" s="12" t="s">
        <v>544</v>
      </c>
    </row>
    <row r="202" spans="2:15" x14ac:dyDescent="0.2">
      <c r="B202" s="60"/>
      <c r="C202" s="59"/>
      <c r="D202" s="59"/>
      <c r="E202" s="263" t="s">
        <v>159</v>
      </c>
      <c r="F202" s="263"/>
      <c r="G202" s="61">
        <f>SUM(G203:G205)</f>
        <v>0</v>
      </c>
      <c r="H202" s="61">
        <f t="shared" ref="H202:N202" si="54">SUM(H203:H205)</f>
        <v>0</v>
      </c>
      <c r="I202" s="61">
        <f t="shared" si="54"/>
        <v>0</v>
      </c>
      <c r="J202" s="61">
        <f t="shared" si="54"/>
        <v>20175</v>
      </c>
      <c r="K202" s="61">
        <f t="shared" si="54"/>
        <v>48496.88</v>
      </c>
      <c r="L202" s="61">
        <f t="shared" si="54"/>
        <v>24000</v>
      </c>
      <c r="M202" s="61">
        <f t="shared" si="54"/>
        <v>7500</v>
      </c>
      <c r="N202" s="61">
        <f t="shared" si="54"/>
        <v>32000</v>
      </c>
    </row>
    <row r="203" spans="2:15" x14ac:dyDescent="0.2">
      <c r="B203" s="60"/>
      <c r="C203" s="59"/>
      <c r="D203" s="59"/>
      <c r="E203" s="59"/>
      <c r="F203" s="139" t="s">
        <v>160</v>
      </c>
      <c r="G203" s="105">
        <v>0</v>
      </c>
      <c r="H203" s="57">
        <v>0</v>
      </c>
      <c r="I203" s="57">
        <v>0</v>
      </c>
      <c r="J203" s="57">
        <v>0</v>
      </c>
      <c r="K203" s="62">
        <v>0</v>
      </c>
      <c r="L203" s="62">
        <v>0</v>
      </c>
      <c r="M203" s="57">
        <v>0</v>
      </c>
      <c r="N203" s="62">
        <v>0</v>
      </c>
    </row>
    <row r="204" spans="2:15" x14ac:dyDescent="0.2">
      <c r="B204" s="60"/>
      <c r="C204" s="59"/>
      <c r="D204" s="59"/>
      <c r="E204" s="59"/>
      <c r="F204" s="139" t="s">
        <v>161</v>
      </c>
      <c r="G204" s="105">
        <v>0</v>
      </c>
      <c r="H204" s="57">
        <v>0</v>
      </c>
      <c r="I204" s="57">
        <v>0</v>
      </c>
      <c r="J204" s="57">
        <f>20175</f>
        <v>20175</v>
      </c>
      <c r="K204" s="62">
        <v>48496.88</v>
      </c>
      <c r="L204" s="62">
        <v>32000</v>
      </c>
      <c r="M204" s="57">
        <v>7500</v>
      </c>
      <c r="N204" s="62">
        <v>32000</v>
      </c>
    </row>
    <row r="205" spans="2:15" x14ac:dyDescent="0.2">
      <c r="B205" s="60"/>
      <c r="C205" s="59"/>
      <c r="D205" s="59"/>
      <c r="E205" s="59"/>
      <c r="F205" s="139" t="s">
        <v>173</v>
      </c>
      <c r="G205" s="105">
        <v>0</v>
      </c>
      <c r="H205" s="57">
        <v>0</v>
      </c>
      <c r="I205" s="57">
        <v>0</v>
      </c>
      <c r="J205" s="57">
        <v>0</v>
      </c>
      <c r="K205" s="62">
        <v>0</v>
      </c>
      <c r="L205" s="62">
        <v>-8000</v>
      </c>
      <c r="M205" s="57">
        <v>0</v>
      </c>
      <c r="N205" s="62">
        <v>0</v>
      </c>
    </row>
    <row r="206" spans="2:15" x14ac:dyDescent="0.2">
      <c r="B206" s="60"/>
      <c r="C206" s="59"/>
      <c r="D206" s="59"/>
      <c r="E206" s="261" t="s">
        <v>170</v>
      </c>
      <c r="F206" s="261"/>
      <c r="G206" s="61">
        <f>SUM(G207:G213)</f>
        <v>0</v>
      </c>
      <c r="H206" s="61">
        <f t="shared" ref="H206:N206" si="55">SUM(H207:H213)</f>
        <v>0</v>
      </c>
      <c r="I206" s="61">
        <f t="shared" si="55"/>
        <v>0</v>
      </c>
      <c r="J206" s="61">
        <f t="shared" si="55"/>
        <v>433463.92000000004</v>
      </c>
      <c r="K206" s="61">
        <f t="shared" si="55"/>
        <v>130584.82999999996</v>
      </c>
      <c r="L206" s="61">
        <f t="shared" si="55"/>
        <v>221540</v>
      </c>
      <c r="M206" s="61">
        <f t="shared" si="55"/>
        <v>248778</v>
      </c>
      <c r="N206" s="61">
        <f t="shared" si="55"/>
        <v>358901</v>
      </c>
    </row>
    <row r="207" spans="2:15" x14ac:dyDescent="0.2">
      <c r="B207" s="60"/>
      <c r="C207" s="59"/>
      <c r="D207" s="59"/>
      <c r="E207" s="59"/>
      <c r="F207" s="139" t="s">
        <v>165</v>
      </c>
      <c r="G207" s="105">
        <v>0</v>
      </c>
      <c r="H207" s="57">
        <v>0</v>
      </c>
      <c r="I207" s="57">
        <v>0</v>
      </c>
      <c r="J207" s="57">
        <f>603.6</f>
        <v>603.6</v>
      </c>
      <c r="K207" s="57">
        <v>461.73</v>
      </c>
      <c r="L207" s="57">
        <v>0</v>
      </c>
      <c r="M207" s="57">
        <v>0</v>
      </c>
      <c r="N207" s="57">
        <v>500</v>
      </c>
    </row>
    <row r="208" spans="2:15" x14ac:dyDescent="0.2">
      <c r="B208" s="60"/>
      <c r="C208" s="59"/>
      <c r="D208" s="59"/>
      <c r="E208" s="59"/>
      <c r="F208" s="139" t="s">
        <v>166</v>
      </c>
      <c r="G208" s="105">
        <v>0</v>
      </c>
      <c r="H208" s="57">
        <v>0</v>
      </c>
      <c r="I208" s="57">
        <v>0</v>
      </c>
      <c r="J208" s="57">
        <v>0</v>
      </c>
      <c r="K208" s="57">
        <v>2299.9899999999998</v>
      </c>
      <c r="L208" s="57">
        <v>0</v>
      </c>
      <c r="M208" s="57">
        <v>0</v>
      </c>
      <c r="N208" s="57">
        <v>25000</v>
      </c>
    </row>
    <row r="209" spans="2:14" x14ac:dyDescent="0.2">
      <c r="B209" s="60"/>
      <c r="C209" s="59"/>
      <c r="D209" s="59"/>
      <c r="E209" s="59"/>
      <c r="F209" s="139" t="s">
        <v>197</v>
      </c>
      <c r="G209" s="105">
        <v>0</v>
      </c>
      <c r="H209" s="57">
        <v>0</v>
      </c>
      <c r="I209" s="57">
        <v>0</v>
      </c>
      <c r="J209" s="57">
        <v>0</v>
      </c>
      <c r="K209" s="57">
        <v>0</v>
      </c>
      <c r="L209" s="57">
        <v>0</v>
      </c>
      <c r="M209" s="57">
        <v>0</v>
      </c>
      <c r="N209" s="57">
        <v>2558</v>
      </c>
    </row>
    <row r="210" spans="2:14" x14ac:dyDescent="0.2">
      <c r="B210" s="60"/>
      <c r="C210" s="59"/>
      <c r="D210" s="59"/>
      <c r="E210" s="59"/>
      <c r="F210" s="139" t="s">
        <v>167</v>
      </c>
      <c r="G210" s="105">
        <v>0</v>
      </c>
      <c r="H210" s="57">
        <v>0</v>
      </c>
      <c r="I210" s="57">
        <v>0</v>
      </c>
      <c r="J210" s="57">
        <f>198854.41</f>
        <v>198854.41</v>
      </c>
      <c r="K210" s="57">
        <v>148444.64000000001</v>
      </c>
      <c r="L210" s="57">
        <v>50000</v>
      </c>
      <c r="M210" s="57">
        <v>12000</v>
      </c>
      <c r="N210" s="57">
        <v>50000</v>
      </c>
    </row>
    <row r="211" spans="2:14" x14ac:dyDescent="0.2">
      <c r="B211" s="60"/>
      <c r="C211" s="59"/>
      <c r="D211" s="59"/>
      <c r="E211" s="59"/>
      <c r="F211" s="139" t="s">
        <v>168</v>
      </c>
      <c r="G211" s="105">
        <v>0</v>
      </c>
      <c r="H211" s="57">
        <v>0</v>
      </c>
      <c r="I211" s="57">
        <v>0</v>
      </c>
      <c r="J211" s="57">
        <f>3020.51+3500</f>
        <v>6520.51</v>
      </c>
      <c r="K211" s="57">
        <v>2158.36</v>
      </c>
      <c r="L211" s="57">
        <v>0</v>
      </c>
      <c r="M211" s="57">
        <v>991</v>
      </c>
      <c r="N211" s="57">
        <v>6050</v>
      </c>
    </row>
    <row r="212" spans="2:14" x14ac:dyDescent="0.2">
      <c r="B212" s="60"/>
      <c r="C212" s="59"/>
      <c r="D212" s="59"/>
      <c r="E212" s="59"/>
      <c r="F212" s="139" t="s">
        <v>175</v>
      </c>
      <c r="G212" s="105">
        <v>0</v>
      </c>
      <c r="H212" s="57">
        <v>0</v>
      </c>
      <c r="I212" s="57">
        <v>0</v>
      </c>
      <c r="J212" s="57">
        <f>227485.4</f>
        <v>227485.4</v>
      </c>
      <c r="K212" s="57">
        <v>230559</v>
      </c>
      <c r="L212" s="57">
        <v>270792</v>
      </c>
      <c r="M212" s="57">
        <v>279326</v>
      </c>
      <c r="N212" s="57">
        <v>274793</v>
      </c>
    </row>
    <row r="213" spans="2:14" x14ac:dyDescent="0.2">
      <c r="B213" s="60"/>
      <c r="C213" s="59"/>
      <c r="D213" s="59"/>
      <c r="E213" s="59"/>
      <c r="F213" s="139" t="s">
        <v>177</v>
      </c>
      <c r="G213" s="105">
        <v>0</v>
      </c>
      <c r="H213" s="57">
        <v>0</v>
      </c>
      <c r="I213" s="57">
        <v>0</v>
      </c>
      <c r="J213" s="57">
        <v>0</v>
      </c>
      <c r="K213" s="57">
        <v>-253338.89</v>
      </c>
      <c r="L213" s="57">
        <v>-99252</v>
      </c>
      <c r="M213" s="57">
        <v>-43539</v>
      </c>
      <c r="N213" s="57">
        <v>0</v>
      </c>
    </row>
    <row r="214" spans="2:14" x14ac:dyDescent="0.2">
      <c r="B214" s="60"/>
      <c r="C214" s="59"/>
      <c r="D214" s="138" t="s">
        <v>541</v>
      </c>
      <c r="E214" s="59"/>
      <c r="F214" s="139"/>
      <c r="G214" s="64">
        <f>G215+G218+G220</f>
        <v>107055</v>
      </c>
      <c r="H214" s="64">
        <f t="shared" ref="H214:I214" si="56">H215+H218+H220</f>
        <v>156563</v>
      </c>
      <c r="I214" s="64">
        <f t="shared" si="56"/>
        <v>192765</v>
      </c>
      <c r="J214" s="64">
        <f>J215+J218+J220</f>
        <v>295683.64</v>
      </c>
      <c r="K214" s="64">
        <f t="shared" ref="K214" si="57">K215+K218+K220</f>
        <v>313368.20999999996</v>
      </c>
      <c r="L214" s="64">
        <f t="shared" ref="L214" si="58">L215+L218+L220</f>
        <v>366606</v>
      </c>
      <c r="M214" s="64">
        <f>M215+M218+M220</f>
        <v>376615</v>
      </c>
      <c r="N214" s="64">
        <f t="shared" ref="N214" si="59">N215+N218+N220</f>
        <v>378231</v>
      </c>
    </row>
    <row r="215" spans="2:14" x14ac:dyDescent="0.2">
      <c r="B215" s="60"/>
      <c r="C215" s="59"/>
      <c r="D215" s="59"/>
      <c r="E215" s="263" t="s">
        <v>159</v>
      </c>
      <c r="F215" s="263"/>
      <c r="G215" s="66">
        <f>SUM(G216:G217)</f>
        <v>101755</v>
      </c>
      <c r="H215" s="66">
        <f t="shared" ref="H215:N215" si="60">SUM(H216:H217)</f>
        <v>140119</v>
      </c>
      <c r="I215" s="66">
        <f t="shared" si="60"/>
        <v>172220</v>
      </c>
      <c r="J215" s="66">
        <f t="shared" si="60"/>
        <v>283656.69</v>
      </c>
      <c r="K215" s="66">
        <f t="shared" si="60"/>
        <v>284752.18</v>
      </c>
      <c r="L215" s="66">
        <f t="shared" si="60"/>
        <v>339700</v>
      </c>
      <c r="M215" s="66">
        <f t="shared" si="60"/>
        <v>365867</v>
      </c>
      <c r="N215" s="66">
        <f t="shared" si="60"/>
        <v>292759</v>
      </c>
    </row>
    <row r="216" spans="2:14" x14ac:dyDescent="0.2">
      <c r="B216" s="60"/>
      <c r="C216" s="59"/>
      <c r="D216" s="59"/>
      <c r="E216" s="59"/>
      <c r="F216" s="139" t="s">
        <v>160</v>
      </c>
      <c r="G216" s="105">
        <v>101755</v>
      </c>
      <c r="H216" s="57">
        <v>140119</v>
      </c>
      <c r="I216" s="57">
        <v>172220</v>
      </c>
      <c r="J216" s="57">
        <v>283656.69</v>
      </c>
      <c r="K216" s="57">
        <v>284752.18</v>
      </c>
      <c r="L216" s="57">
        <v>309700</v>
      </c>
      <c r="M216" s="57">
        <v>353867</v>
      </c>
      <c r="N216" s="57">
        <v>262759</v>
      </c>
    </row>
    <row r="217" spans="2:14" x14ac:dyDescent="0.2">
      <c r="B217" s="60"/>
      <c r="C217" s="59"/>
      <c r="D217" s="59"/>
      <c r="E217" s="59"/>
      <c r="F217" s="139" t="s">
        <v>161</v>
      </c>
      <c r="G217" s="105">
        <v>0</v>
      </c>
      <c r="H217" s="105">
        <v>0</v>
      </c>
      <c r="I217" s="105">
        <v>0</v>
      </c>
      <c r="J217" s="105">
        <v>0</v>
      </c>
      <c r="K217" s="57">
        <v>0</v>
      </c>
      <c r="L217" s="57">
        <v>30000</v>
      </c>
      <c r="M217" s="105">
        <v>12000</v>
      </c>
      <c r="N217" s="57">
        <v>30000</v>
      </c>
    </row>
    <row r="218" spans="2:14" x14ac:dyDescent="0.2">
      <c r="B218" s="60"/>
      <c r="C218" s="59"/>
      <c r="D218" s="59"/>
      <c r="E218" s="261" t="s">
        <v>162</v>
      </c>
      <c r="F218" s="261"/>
      <c r="G218" s="71">
        <f>G219</f>
        <v>0</v>
      </c>
      <c r="H218" s="71">
        <f t="shared" ref="H218:N218" si="61">H219</f>
        <v>0</v>
      </c>
      <c r="I218" s="71">
        <f t="shared" si="61"/>
        <v>3938</v>
      </c>
      <c r="J218" s="71">
        <f t="shared" si="61"/>
        <v>0</v>
      </c>
      <c r="K218" s="71">
        <f t="shared" si="61"/>
        <v>7559.91</v>
      </c>
      <c r="L218" s="71">
        <f t="shared" si="61"/>
        <v>0</v>
      </c>
      <c r="M218" s="71">
        <f t="shared" si="61"/>
        <v>0</v>
      </c>
      <c r="N218" s="71">
        <f t="shared" si="61"/>
        <v>0</v>
      </c>
    </row>
    <row r="219" spans="2:14" x14ac:dyDescent="0.2">
      <c r="B219" s="60"/>
      <c r="C219" s="59"/>
      <c r="D219" s="59"/>
      <c r="E219" s="59"/>
      <c r="F219" s="139" t="s">
        <v>163</v>
      </c>
      <c r="G219" s="105">
        <v>0</v>
      </c>
      <c r="H219" s="69">
        <v>0</v>
      </c>
      <c r="I219" s="69">
        <v>3938</v>
      </c>
      <c r="J219" s="69">
        <v>0</v>
      </c>
      <c r="K219" s="69">
        <v>7559.91</v>
      </c>
      <c r="L219" s="69">
        <v>0</v>
      </c>
      <c r="M219" s="57">
        <v>0</v>
      </c>
      <c r="N219" s="69">
        <v>0</v>
      </c>
    </row>
    <row r="220" spans="2:14" x14ac:dyDescent="0.2">
      <c r="B220" s="60"/>
      <c r="C220" s="59"/>
      <c r="D220" s="59"/>
      <c r="E220" s="261" t="s">
        <v>170</v>
      </c>
      <c r="F220" s="261"/>
      <c r="G220" s="70">
        <f>SUM(G221:G225)</f>
        <v>5300</v>
      </c>
      <c r="H220" s="70">
        <f t="shared" ref="H220:N220" si="62">SUM(H221:H225)</f>
        <v>16444</v>
      </c>
      <c r="I220" s="70">
        <f t="shared" si="62"/>
        <v>16607</v>
      </c>
      <c r="J220" s="70">
        <f t="shared" si="62"/>
        <v>12026.949999999999</v>
      </c>
      <c r="K220" s="70">
        <f t="shared" si="62"/>
        <v>21056.12</v>
      </c>
      <c r="L220" s="70">
        <f t="shared" si="62"/>
        <v>26906</v>
      </c>
      <c r="M220" s="70">
        <f t="shared" si="62"/>
        <v>10748</v>
      </c>
      <c r="N220" s="70">
        <f t="shared" si="62"/>
        <v>85472</v>
      </c>
    </row>
    <row r="221" spans="2:14" x14ac:dyDescent="0.2">
      <c r="B221" s="60"/>
      <c r="C221" s="59"/>
      <c r="D221" s="59"/>
      <c r="E221" s="59"/>
      <c r="F221" s="139" t="s">
        <v>165</v>
      </c>
      <c r="G221" s="105">
        <v>765</v>
      </c>
      <c r="H221" s="63">
        <v>11040</v>
      </c>
      <c r="I221" s="63">
        <v>3712</v>
      </c>
      <c r="J221" s="63">
        <f>2362.99+996.04</f>
        <v>3359.0299999999997</v>
      </c>
      <c r="K221" s="63">
        <v>3245.16</v>
      </c>
      <c r="L221" s="63">
        <v>4000</v>
      </c>
      <c r="M221" s="63">
        <v>3500</v>
      </c>
      <c r="N221" s="63">
        <v>3000</v>
      </c>
    </row>
    <row r="222" spans="2:14" x14ac:dyDescent="0.2">
      <c r="B222" s="60"/>
      <c r="C222" s="59"/>
      <c r="D222" s="59"/>
      <c r="E222" s="59"/>
      <c r="F222" s="139" t="s">
        <v>166</v>
      </c>
      <c r="G222" s="105">
        <v>4456</v>
      </c>
      <c r="H222" s="57">
        <v>4720</v>
      </c>
      <c r="I222" s="57">
        <v>9921</v>
      </c>
      <c r="J222" s="57">
        <f>1143.11+4094.58+607.38</f>
        <v>5845.07</v>
      </c>
      <c r="K222" s="57">
        <v>9425</v>
      </c>
      <c r="L222" s="57">
        <v>2906</v>
      </c>
      <c r="M222" s="57">
        <v>2800</v>
      </c>
      <c r="N222" s="57">
        <v>3800</v>
      </c>
    </row>
    <row r="223" spans="2:14" x14ac:dyDescent="0.2">
      <c r="B223" s="60"/>
      <c r="C223" s="59"/>
      <c r="D223" s="59"/>
      <c r="E223" s="59"/>
      <c r="F223" s="139" t="s">
        <v>167</v>
      </c>
      <c r="G223" s="105">
        <v>0</v>
      </c>
      <c r="H223" s="57">
        <v>0</v>
      </c>
      <c r="I223" s="57">
        <v>420</v>
      </c>
      <c r="J223" s="57">
        <f>676</f>
        <v>676</v>
      </c>
      <c r="K223" s="57">
        <v>1861</v>
      </c>
      <c r="L223" s="57">
        <v>13000</v>
      </c>
      <c r="M223" s="57">
        <v>4000</v>
      </c>
      <c r="N223" s="57">
        <v>2000</v>
      </c>
    </row>
    <row r="224" spans="2:14" x14ac:dyDescent="0.2">
      <c r="B224" s="60"/>
      <c r="C224" s="59"/>
      <c r="D224" s="59"/>
      <c r="E224" s="59"/>
      <c r="F224" s="139" t="s">
        <v>168</v>
      </c>
      <c r="G224" s="105">
        <v>79</v>
      </c>
      <c r="H224" s="57">
        <v>684</v>
      </c>
      <c r="I224" s="57">
        <v>2554</v>
      </c>
      <c r="J224" s="57">
        <f>1243.85+349+554</f>
        <v>2146.85</v>
      </c>
      <c r="K224" s="57">
        <v>5259</v>
      </c>
      <c r="L224" s="57">
        <v>7000</v>
      </c>
      <c r="M224" s="57">
        <v>0</v>
      </c>
      <c r="N224" s="57">
        <v>1500</v>
      </c>
    </row>
    <row r="225" spans="2:15" x14ac:dyDescent="0.2">
      <c r="B225" s="60"/>
      <c r="C225" s="59"/>
      <c r="D225" s="59"/>
      <c r="E225" s="59"/>
      <c r="F225" s="139" t="s">
        <v>175</v>
      </c>
      <c r="G225" s="105">
        <v>0</v>
      </c>
      <c r="H225" s="57">
        <v>0</v>
      </c>
      <c r="I225" s="57">
        <v>0</v>
      </c>
      <c r="J225" s="57">
        <v>0</v>
      </c>
      <c r="K225" s="57">
        <v>1265.96</v>
      </c>
      <c r="L225" s="57">
        <v>0</v>
      </c>
      <c r="M225" s="57">
        <v>448</v>
      </c>
      <c r="N225" s="57">
        <v>75172</v>
      </c>
    </row>
    <row r="226" spans="2:15" x14ac:dyDescent="0.2">
      <c r="B226" s="60"/>
      <c r="C226" s="59"/>
      <c r="D226" s="270" t="s">
        <v>542</v>
      </c>
      <c r="E226" s="270"/>
      <c r="F226" s="270"/>
      <c r="G226" s="64">
        <f>G227+G231</f>
        <v>477052</v>
      </c>
      <c r="H226" s="64">
        <f t="shared" ref="H226:N226" si="63">H227+H231</f>
        <v>579082</v>
      </c>
      <c r="I226" s="64">
        <f t="shared" si="63"/>
        <v>620254</v>
      </c>
      <c r="J226" s="64">
        <f t="shared" si="63"/>
        <v>984354.01500000013</v>
      </c>
      <c r="K226" s="64">
        <f t="shared" si="63"/>
        <v>4251501.59</v>
      </c>
      <c r="L226" s="64">
        <f t="shared" si="63"/>
        <v>3632022</v>
      </c>
      <c r="M226" s="64">
        <f t="shared" si="63"/>
        <v>3510701</v>
      </c>
      <c r="N226" s="64">
        <f t="shared" si="63"/>
        <v>4638479</v>
      </c>
    </row>
    <row r="227" spans="2:15" x14ac:dyDescent="0.2">
      <c r="B227" s="60"/>
      <c r="C227" s="59"/>
      <c r="D227" s="59"/>
      <c r="E227" s="263" t="s">
        <v>159</v>
      </c>
      <c r="F227" s="263"/>
      <c r="G227" s="66">
        <f>SUM(G228:G230)</f>
        <v>217464</v>
      </c>
      <c r="H227" s="66">
        <f t="shared" ref="H227:N227" si="64">SUM(H228:H230)</f>
        <v>362558</v>
      </c>
      <c r="I227" s="66">
        <f t="shared" si="64"/>
        <v>360472</v>
      </c>
      <c r="J227" s="66">
        <f t="shared" si="64"/>
        <v>551358.06000000006</v>
      </c>
      <c r="K227" s="66">
        <f t="shared" si="64"/>
        <v>1091107.97</v>
      </c>
      <c r="L227" s="66">
        <f t="shared" si="64"/>
        <v>1264149</v>
      </c>
      <c r="M227" s="66">
        <f t="shared" si="64"/>
        <v>1239254</v>
      </c>
      <c r="N227" s="66">
        <f t="shared" si="64"/>
        <v>1432690</v>
      </c>
    </row>
    <row r="228" spans="2:15" x14ac:dyDescent="0.2">
      <c r="B228" s="60"/>
      <c r="C228" s="59"/>
      <c r="D228" s="59"/>
      <c r="E228" s="59"/>
      <c r="F228" s="139" t="s">
        <v>160</v>
      </c>
      <c r="G228" s="105">
        <v>217464</v>
      </c>
      <c r="H228" s="57">
        <v>358928</v>
      </c>
      <c r="I228" s="57">
        <v>360472</v>
      </c>
      <c r="J228" s="57">
        <f>551358.06</f>
        <v>551358.06000000006</v>
      </c>
      <c r="K228" s="57">
        <v>1082815</v>
      </c>
      <c r="L228" s="57">
        <v>1264149</v>
      </c>
      <c r="M228" s="57">
        <v>1216105</v>
      </c>
      <c r="N228" s="57">
        <v>1432690</v>
      </c>
    </row>
    <row r="229" spans="2:15" x14ac:dyDescent="0.2">
      <c r="B229" s="60"/>
      <c r="C229" s="59"/>
      <c r="D229" s="59"/>
      <c r="E229" s="59"/>
      <c r="F229" s="139" t="s">
        <v>161</v>
      </c>
      <c r="G229" s="105">
        <v>0</v>
      </c>
      <c r="H229" s="57">
        <v>3630</v>
      </c>
      <c r="I229" s="57">
        <v>0</v>
      </c>
      <c r="J229" s="57">
        <v>0</v>
      </c>
      <c r="K229" s="57">
        <v>8292.9699999999993</v>
      </c>
      <c r="L229" s="57">
        <v>0</v>
      </c>
      <c r="M229" s="57">
        <v>0</v>
      </c>
      <c r="N229" s="57">
        <v>0</v>
      </c>
    </row>
    <row r="230" spans="2:15" x14ac:dyDescent="0.2">
      <c r="B230" s="60"/>
      <c r="C230" s="59"/>
      <c r="D230" s="59"/>
      <c r="E230" s="59"/>
      <c r="F230" s="139" t="s">
        <v>172</v>
      </c>
      <c r="G230" s="105">
        <v>0</v>
      </c>
      <c r="H230" s="105">
        <v>0</v>
      </c>
      <c r="I230" s="105">
        <v>0</v>
      </c>
      <c r="J230" s="105">
        <v>0</v>
      </c>
      <c r="K230" s="57">
        <v>0</v>
      </c>
      <c r="L230" s="57">
        <v>0</v>
      </c>
      <c r="M230" s="57">
        <v>23149</v>
      </c>
      <c r="N230" s="57">
        <v>0</v>
      </c>
    </row>
    <row r="231" spans="2:15" x14ac:dyDescent="0.2">
      <c r="B231" s="60"/>
      <c r="C231" s="59"/>
      <c r="D231" s="59"/>
      <c r="E231" s="261" t="s">
        <v>170</v>
      </c>
      <c r="F231" s="261"/>
      <c r="G231" s="67">
        <f>SUM(G232:G238)</f>
        <v>259588</v>
      </c>
      <c r="H231" s="67">
        <f t="shared" ref="H231:N231" si="65">SUM(H232:H238)</f>
        <v>216524</v>
      </c>
      <c r="I231" s="67">
        <f t="shared" si="65"/>
        <v>259782</v>
      </c>
      <c r="J231" s="67">
        <f t="shared" si="65"/>
        <v>432995.95500000002</v>
      </c>
      <c r="K231" s="67">
        <f t="shared" si="65"/>
        <v>3160393.62</v>
      </c>
      <c r="L231" s="67">
        <f t="shared" si="65"/>
        <v>2367873</v>
      </c>
      <c r="M231" s="67">
        <f t="shared" si="65"/>
        <v>2271447</v>
      </c>
      <c r="N231" s="67">
        <f t="shared" si="65"/>
        <v>3205789</v>
      </c>
    </row>
    <row r="232" spans="2:15" x14ac:dyDescent="0.2">
      <c r="B232" s="60"/>
      <c r="C232" s="59"/>
      <c r="D232" s="59"/>
      <c r="E232" s="59"/>
      <c r="F232" s="139" t="s">
        <v>165</v>
      </c>
      <c r="G232" s="105">
        <v>32</v>
      </c>
      <c r="H232" s="57">
        <v>325</v>
      </c>
      <c r="I232" s="57">
        <v>3008</v>
      </c>
      <c r="J232" s="57">
        <f>3342.42</f>
        <v>3342.42</v>
      </c>
      <c r="K232" s="57">
        <v>1543</v>
      </c>
      <c r="L232" s="57">
        <v>2500</v>
      </c>
      <c r="M232" s="57">
        <v>985</v>
      </c>
      <c r="N232" s="57">
        <v>2500</v>
      </c>
    </row>
    <row r="233" spans="2:15" x14ac:dyDescent="0.2">
      <c r="B233" s="60"/>
      <c r="C233" s="59"/>
      <c r="D233" s="59"/>
      <c r="E233" s="59"/>
      <c r="F233" s="139" t="s">
        <v>166</v>
      </c>
      <c r="G233" s="105">
        <v>14491</v>
      </c>
      <c r="H233" s="57">
        <v>26257</v>
      </c>
      <c r="I233" s="57">
        <v>1241</v>
      </c>
      <c r="J233" s="57">
        <f>180247.34</f>
        <v>180247.34</v>
      </c>
      <c r="K233" s="57">
        <v>2918602</v>
      </c>
      <c r="L233" s="57">
        <v>2070277</v>
      </c>
      <c r="M233" s="57">
        <v>2000323</v>
      </c>
      <c r="N233" s="57">
        <v>2900000</v>
      </c>
      <c r="O233" s="12" t="s">
        <v>545</v>
      </c>
    </row>
    <row r="234" spans="2:15" x14ac:dyDescent="0.2">
      <c r="B234" s="60"/>
      <c r="C234" s="59"/>
      <c r="D234" s="59"/>
      <c r="E234" s="59"/>
      <c r="F234" s="139" t="s">
        <v>178</v>
      </c>
      <c r="G234" s="105">
        <v>3679</v>
      </c>
      <c r="H234" s="57">
        <v>1115</v>
      </c>
      <c r="I234" s="57">
        <v>0</v>
      </c>
      <c r="J234" s="57">
        <v>0</v>
      </c>
      <c r="K234" s="57">
        <v>0</v>
      </c>
      <c r="L234" s="57">
        <v>0</v>
      </c>
      <c r="M234" s="57">
        <v>0</v>
      </c>
      <c r="N234" s="57">
        <v>0</v>
      </c>
    </row>
    <row r="235" spans="2:15" x14ac:dyDescent="0.2">
      <c r="B235" s="60"/>
      <c r="C235" s="59"/>
      <c r="D235" s="59"/>
      <c r="E235" s="59"/>
      <c r="F235" s="139" t="s">
        <v>167</v>
      </c>
      <c r="G235" s="105">
        <v>305154</v>
      </c>
      <c r="H235" s="57">
        <v>245783</v>
      </c>
      <c r="I235" s="57">
        <v>0</v>
      </c>
      <c r="J235" s="57">
        <v>0</v>
      </c>
      <c r="K235" s="57">
        <v>0</v>
      </c>
      <c r="L235" s="57">
        <v>0</v>
      </c>
      <c r="M235" s="57">
        <v>0</v>
      </c>
      <c r="N235" s="57">
        <v>0</v>
      </c>
    </row>
    <row r="236" spans="2:15" x14ac:dyDescent="0.2">
      <c r="B236" s="60"/>
      <c r="C236" s="59"/>
      <c r="D236" s="59"/>
      <c r="E236" s="59"/>
      <c r="F236" s="139" t="s">
        <v>168</v>
      </c>
      <c r="G236" s="105">
        <v>1094</v>
      </c>
      <c r="H236" s="57">
        <v>950</v>
      </c>
      <c r="I236" s="57">
        <v>3825</v>
      </c>
      <c r="J236" s="57">
        <f>8577.62+4098.13+647.27</f>
        <v>13323.02</v>
      </c>
      <c r="K236" s="57">
        <v>25400.62</v>
      </c>
      <c r="L236" s="57">
        <v>21000</v>
      </c>
      <c r="M236" s="57">
        <v>9300</v>
      </c>
      <c r="N236" s="57">
        <v>21000</v>
      </c>
    </row>
    <row r="237" spans="2:15" x14ac:dyDescent="0.2">
      <c r="B237" s="60"/>
      <c r="C237" s="59"/>
      <c r="D237" s="59"/>
      <c r="E237" s="59"/>
      <c r="F237" s="139" t="s">
        <v>175</v>
      </c>
      <c r="G237" s="105">
        <v>0</v>
      </c>
      <c r="H237" s="57">
        <v>0</v>
      </c>
      <c r="I237" s="57">
        <v>251708</v>
      </c>
      <c r="J237" s="57">
        <v>267504.62</v>
      </c>
      <c r="K237" s="57">
        <v>214848</v>
      </c>
      <c r="L237" s="57">
        <v>274096</v>
      </c>
      <c r="M237" s="57">
        <v>339845</v>
      </c>
      <c r="N237" s="57">
        <v>365080</v>
      </c>
    </row>
    <row r="238" spans="2:15" x14ac:dyDescent="0.2">
      <c r="B238" s="60"/>
      <c r="C238" s="59"/>
      <c r="D238" s="59"/>
      <c r="E238" s="59"/>
      <c r="F238" s="139" t="s">
        <v>177</v>
      </c>
      <c r="G238" s="105">
        <v>-64862</v>
      </c>
      <c r="H238" s="57">
        <v>-57906</v>
      </c>
      <c r="I238" s="57">
        <v>0</v>
      </c>
      <c r="J238" s="57">
        <v>-31421.445</v>
      </c>
      <c r="K238" s="57">
        <v>0</v>
      </c>
      <c r="L238" s="57">
        <v>0</v>
      </c>
      <c r="M238" s="57">
        <v>-79006</v>
      </c>
      <c r="N238" s="57">
        <v>-82791</v>
      </c>
    </row>
    <row r="239" spans="2:15" x14ac:dyDescent="0.2">
      <c r="B239" s="60"/>
      <c r="C239" s="59"/>
      <c r="D239" s="261" t="s">
        <v>348</v>
      </c>
      <c r="E239" s="273"/>
      <c r="F239" s="273"/>
      <c r="G239" s="70">
        <f>G240+G243</f>
        <v>317096</v>
      </c>
      <c r="H239" s="70">
        <f>H240+H243</f>
        <v>344252</v>
      </c>
      <c r="I239" s="70">
        <f t="shared" ref="I239:K239" si="66">I240+I243</f>
        <v>358867</v>
      </c>
      <c r="J239" s="70">
        <f t="shared" si="66"/>
        <v>460887.88</v>
      </c>
      <c r="K239" s="70">
        <f t="shared" si="66"/>
        <v>492299.41000000003</v>
      </c>
      <c r="L239" s="70">
        <f>L240+L243</f>
        <v>497259</v>
      </c>
      <c r="M239" s="70">
        <f t="shared" ref="M239" si="67">M240+M243</f>
        <v>507071</v>
      </c>
      <c r="N239" s="70">
        <f t="shared" ref="N239" si="68">N240+N243</f>
        <v>499492</v>
      </c>
    </row>
    <row r="240" spans="2:15" x14ac:dyDescent="0.2">
      <c r="B240" s="60"/>
      <c r="C240" s="59"/>
      <c r="D240" s="59"/>
      <c r="E240" s="263" t="s">
        <v>159</v>
      </c>
      <c r="F240" s="263"/>
      <c r="G240" s="66">
        <f>SUM(G241:G242)</f>
        <v>267337</v>
      </c>
      <c r="H240" s="66">
        <f t="shared" ref="H240:N240" si="69">SUM(H241:H242)</f>
        <v>291751</v>
      </c>
      <c r="I240" s="66">
        <f t="shared" si="69"/>
        <v>301251</v>
      </c>
      <c r="J240" s="66">
        <f t="shared" si="69"/>
        <v>357974.14</v>
      </c>
      <c r="K240" s="66">
        <f t="shared" si="69"/>
        <v>374943.05000000005</v>
      </c>
      <c r="L240" s="66">
        <f t="shared" si="69"/>
        <v>367064</v>
      </c>
      <c r="M240" s="66">
        <f t="shared" si="69"/>
        <v>378798</v>
      </c>
      <c r="N240" s="66">
        <f t="shared" si="69"/>
        <v>490692</v>
      </c>
    </row>
    <row r="241" spans="2:14" x14ac:dyDescent="0.2">
      <c r="B241" s="60"/>
      <c r="C241" s="59"/>
      <c r="D241" s="59"/>
      <c r="E241" s="59"/>
      <c r="F241" s="139" t="s">
        <v>160</v>
      </c>
      <c r="G241" s="105">
        <v>267337</v>
      </c>
      <c r="H241" s="57">
        <v>291751</v>
      </c>
      <c r="I241" s="57">
        <v>301251</v>
      </c>
      <c r="J241" s="57">
        <v>357974.14</v>
      </c>
      <c r="K241" s="57">
        <v>368644.21</v>
      </c>
      <c r="L241" s="57">
        <v>367064</v>
      </c>
      <c r="M241" s="57">
        <v>378798</v>
      </c>
      <c r="N241" s="57">
        <v>490692</v>
      </c>
    </row>
    <row r="242" spans="2:14" x14ac:dyDescent="0.2">
      <c r="B242" s="60"/>
      <c r="C242" s="59"/>
      <c r="D242" s="59"/>
      <c r="E242" s="59"/>
      <c r="F242" s="139" t="s">
        <v>179</v>
      </c>
      <c r="G242" s="105">
        <v>0</v>
      </c>
      <c r="H242" s="57">
        <v>0</v>
      </c>
      <c r="I242" s="57">
        <v>0</v>
      </c>
      <c r="J242" s="57">
        <v>0</v>
      </c>
      <c r="K242" s="57">
        <v>6298.84</v>
      </c>
      <c r="L242" s="57">
        <v>0</v>
      </c>
      <c r="M242" s="57">
        <v>0</v>
      </c>
      <c r="N242" s="57">
        <v>0</v>
      </c>
    </row>
    <row r="243" spans="2:14" x14ac:dyDescent="0.2">
      <c r="B243" s="60"/>
      <c r="C243" s="59"/>
      <c r="D243" s="59"/>
      <c r="E243" s="261" t="s">
        <v>170</v>
      </c>
      <c r="F243" s="261"/>
      <c r="G243" s="67">
        <f>SUM(G244:G248)</f>
        <v>49759</v>
      </c>
      <c r="H243" s="67">
        <f t="shared" ref="H243:N243" si="70">SUM(H244:H248)</f>
        <v>52501</v>
      </c>
      <c r="I243" s="67">
        <f t="shared" si="70"/>
        <v>57616</v>
      </c>
      <c r="J243" s="67">
        <f t="shared" si="70"/>
        <v>102913.74</v>
      </c>
      <c r="K243" s="67">
        <f t="shared" si="70"/>
        <v>117356.36</v>
      </c>
      <c r="L243" s="67">
        <f t="shared" si="70"/>
        <v>130195</v>
      </c>
      <c r="M243" s="67">
        <f t="shared" si="70"/>
        <v>128273</v>
      </c>
      <c r="N243" s="67">
        <f t="shared" si="70"/>
        <v>8800</v>
      </c>
    </row>
    <row r="244" spans="2:14" x14ac:dyDescent="0.2">
      <c r="B244" s="60"/>
      <c r="C244" s="59"/>
      <c r="D244" s="59"/>
      <c r="E244" s="59"/>
      <c r="F244" s="139" t="s">
        <v>165</v>
      </c>
      <c r="G244" s="105">
        <v>4421</v>
      </c>
      <c r="H244" s="57">
        <v>4719</v>
      </c>
      <c r="I244" s="57">
        <v>4998</v>
      </c>
      <c r="J244" s="57">
        <f>4705.43+574.82</f>
        <v>5280.25</v>
      </c>
      <c r="K244" s="57">
        <v>4313</v>
      </c>
      <c r="L244" s="57">
        <v>9500</v>
      </c>
      <c r="M244" s="57">
        <v>7400</v>
      </c>
      <c r="N244" s="57">
        <v>7000</v>
      </c>
    </row>
    <row r="245" spans="2:14" x14ac:dyDescent="0.2">
      <c r="B245" s="60"/>
      <c r="C245" s="59"/>
      <c r="D245" s="59"/>
      <c r="E245" s="59"/>
      <c r="F245" s="139" t="s">
        <v>166</v>
      </c>
      <c r="G245" s="105">
        <v>70</v>
      </c>
      <c r="H245" s="57">
        <v>95</v>
      </c>
      <c r="I245" s="57">
        <v>210</v>
      </c>
      <c r="J245" s="57">
        <v>140</v>
      </c>
      <c r="K245" s="57">
        <v>68</v>
      </c>
      <c r="L245" s="57">
        <v>450</v>
      </c>
      <c r="M245" s="57">
        <v>300</v>
      </c>
      <c r="N245" s="57">
        <v>300</v>
      </c>
    </row>
    <row r="246" spans="2:14" x14ac:dyDescent="0.2">
      <c r="B246" s="60"/>
      <c r="C246" s="59"/>
      <c r="D246" s="59"/>
      <c r="E246" s="59"/>
      <c r="F246" s="139" t="s">
        <v>167</v>
      </c>
      <c r="G246" s="105">
        <v>44719</v>
      </c>
      <c r="H246" s="57">
        <v>47083</v>
      </c>
      <c r="I246" s="57">
        <v>0</v>
      </c>
      <c r="J246" s="57">
        <v>0</v>
      </c>
      <c r="K246" s="57">
        <v>0</v>
      </c>
      <c r="L246" s="57">
        <v>0</v>
      </c>
      <c r="M246" s="57">
        <v>0</v>
      </c>
      <c r="N246" s="57">
        <v>0</v>
      </c>
    </row>
    <row r="247" spans="2:14" x14ac:dyDescent="0.2">
      <c r="B247" s="60"/>
      <c r="C247" s="59"/>
      <c r="D247" s="59"/>
      <c r="E247" s="59"/>
      <c r="F247" s="139" t="s">
        <v>168</v>
      </c>
      <c r="G247" s="105">
        <v>549</v>
      </c>
      <c r="H247" s="57">
        <v>604</v>
      </c>
      <c r="I247" s="57">
        <v>1000</v>
      </c>
      <c r="J247" s="57">
        <f>72.75+801.7+581.51</f>
        <v>1455.96</v>
      </c>
      <c r="K247" s="57">
        <v>1341.3600000000001</v>
      </c>
      <c r="L247" s="57">
        <v>5400</v>
      </c>
      <c r="M247" s="57">
        <v>900</v>
      </c>
      <c r="N247" s="57">
        <v>1500</v>
      </c>
    </row>
    <row r="248" spans="2:14" x14ac:dyDescent="0.2">
      <c r="B248" s="60"/>
      <c r="C248" s="59"/>
      <c r="D248" s="59"/>
      <c r="E248" s="59"/>
      <c r="F248" s="139" t="s">
        <v>175</v>
      </c>
      <c r="G248" s="105">
        <v>0</v>
      </c>
      <c r="H248" s="57">
        <v>0</v>
      </c>
      <c r="I248" s="57">
        <v>51408</v>
      </c>
      <c r="J248" s="57">
        <f>96037.53</f>
        <v>96037.53</v>
      </c>
      <c r="K248" s="57">
        <v>111634</v>
      </c>
      <c r="L248" s="57">
        <v>114845</v>
      </c>
      <c r="M248" s="57">
        <v>119673</v>
      </c>
      <c r="N248" s="57">
        <v>0</v>
      </c>
    </row>
    <row r="249" spans="2:14" x14ac:dyDescent="0.2">
      <c r="B249" s="60"/>
      <c r="C249" s="59"/>
      <c r="D249" s="261" t="s">
        <v>349</v>
      </c>
      <c r="E249" s="273"/>
      <c r="F249" s="273"/>
      <c r="G249" s="68">
        <f>G250</f>
        <v>53807</v>
      </c>
      <c r="H249" s="68">
        <f t="shared" ref="H249:N249" si="71">H250</f>
        <v>45960</v>
      </c>
      <c r="I249" s="68">
        <f t="shared" si="71"/>
        <v>103017</v>
      </c>
      <c r="J249" s="68">
        <f t="shared" si="71"/>
        <v>140238.22</v>
      </c>
      <c r="K249" s="68">
        <f t="shared" si="71"/>
        <v>68473.58</v>
      </c>
      <c r="L249" s="68">
        <f t="shared" si="71"/>
        <v>128578</v>
      </c>
      <c r="M249" s="68">
        <f t="shared" si="71"/>
        <v>133577</v>
      </c>
      <c r="N249" s="68">
        <f t="shared" si="71"/>
        <v>131968</v>
      </c>
    </row>
    <row r="250" spans="2:14" x14ac:dyDescent="0.2">
      <c r="B250" s="60"/>
      <c r="C250" s="59"/>
      <c r="D250" s="59"/>
      <c r="E250" s="268" t="s">
        <v>159</v>
      </c>
      <c r="F250" s="268"/>
      <c r="G250" s="68">
        <f>SUM(G251:G252)</f>
        <v>53807</v>
      </c>
      <c r="H250" s="68">
        <f t="shared" ref="H250:K250" si="72">SUM(H251:H252)</f>
        <v>45960</v>
      </c>
      <c r="I250" s="68">
        <f t="shared" si="72"/>
        <v>103017</v>
      </c>
      <c r="J250" s="68">
        <f t="shared" si="72"/>
        <v>140238.22</v>
      </c>
      <c r="K250" s="68">
        <f t="shared" si="72"/>
        <v>68473.58</v>
      </c>
      <c r="L250" s="68">
        <f>SUM(L251:L252)</f>
        <v>128578</v>
      </c>
      <c r="M250" s="68">
        <f t="shared" ref="M250" si="73">SUM(M251:M252)</f>
        <v>133577</v>
      </c>
      <c r="N250" s="68">
        <f t="shared" ref="N250" si="74">SUM(N251:N252)</f>
        <v>131968</v>
      </c>
    </row>
    <row r="251" spans="2:14" x14ac:dyDescent="0.2">
      <c r="B251" s="60"/>
      <c r="C251" s="59"/>
      <c r="D251" s="59"/>
      <c r="E251" s="59"/>
      <c r="F251" s="139" t="s">
        <v>160</v>
      </c>
      <c r="G251" s="105">
        <v>53807</v>
      </c>
      <c r="H251" s="63">
        <v>45960</v>
      </c>
      <c r="I251" s="63">
        <v>103017</v>
      </c>
      <c r="J251" s="63">
        <v>140238.22</v>
      </c>
      <c r="K251" s="57">
        <v>-18793.419999999998</v>
      </c>
      <c r="L251" s="57">
        <v>128578</v>
      </c>
      <c r="M251" s="57">
        <v>133577</v>
      </c>
      <c r="N251" s="57">
        <v>131968</v>
      </c>
    </row>
    <row r="252" spans="2:14" x14ac:dyDescent="0.2">
      <c r="B252" s="60"/>
      <c r="C252" s="59"/>
      <c r="D252" s="59"/>
      <c r="E252" s="59"/>
      <c r="F252" s="139" t="s">
        <v>174</v>
      </c>
      <c r="G252" s="105">
        <v>0</v>
      </c>
      <c r="H252" s="63">
        <v>0</v>
      </c>
      <c r="I252" s="63">
        <v>0</v>
      </c>
      <c r="J252" s="63">
        <v>0</v>
      </c>
      <c r="K252" s="57">
        <v>87267</v>
      </c>
      <c r="L252" s="57">
        <v>0</v>
      </c>
      <c r="M252" s="57">
        <v>0</v>
      </c>
      <c r="N252" s="57">
        <v>0</v>
      </c>
    </row>
    <row r="253" spans="2:14" x14ac:dyDescent="0.2">
      <c r="B253" s="60"/>
      <c r="C253" s="59"/>
      <c r="D253" s="59"/>
      <c r="E253" s="261" t="s">
        <v>170</v>
      </c>
      <c r="F253" s="261"/>
      <c r="G253" s="109">
        <f>SUM(G254:G255)</f>
        <v>0</v>
      </c>
      <c r="H253" s="109">
        <f t="shared" ref="H253:N253" si="75">SUM(H254:H255)</f>
        <v>0</v>
      </c>
      <c r="I253" s="109">
        <f t="shared" si="75"/>
        <v>5976</v>
      </c>
      <c r="J253" s="109">
        <f t="shared" si="75"/>
        <v>430.66</v>
      </c>
      <c r="K253" s="109">
        <f t="shared" si="75"/>
        <v>928.71</v>
      </c>
      <c r="L253" s="109">
        <f t="shared" si="75"/>
        <v>500</v>
      </c>
      <c r="M253" s="109">
        <f t="shared" si="75"/>
        <v>300</v>
      </c>
      <c r="N253" s="109">
        <f t="shared" si="75"/>
        <v>0</v>
      </c>
    </row>
    <row r="254" spans="2:14" x14ac:dyDescent="0.2">
      <c r="B254" s="60"/>
      <c r="C254" s="59"/>
      <c r="D254" s="59"/>
      <c r="E254" s="59"/>
      <c r="F254" s="139" t="s">
        <v>165</v>
      </c>
      <c r="G254" s="105">
        <v>0</v>
      </c>
      <c r="H254" s="57">
        <v>0</v>
      </c>
      <c r="I254" s="57">
        <v>5976</v>
      </c>
      <c r="J254" s="57">
        <v>289.54000000000002</v>
      </c>
      <c r="K254" s="57">
        <v>841.71</v>
      </c>
      <c r="L254" s="57">
        <v>500</v>
      </c>
      <c r="M254" s="57">
        <v>300</v>
      </c>
      <c r="N254" s="57">
        <v>0</v>
      </c>
    </row>
    <row r="255" spans="2:14" x14ac:dyDescent="0.2">
      <c r="B255" s="60"/>
      <c r="C255" s="59"/>
      <c r="D255" s="59"/>
      <c r="E255" s="59"/>
      <c r="F255" s="139" t="s">
        <v>168</v>
      </c>
      <c r="G255" s="105">
        <v>0</v>
      </c>
      <c r="H255" s="57">
        <v>0</v>
      </c>
      <c r="I255" s="57">
        <v>0</v>
      </c>
      <c r="J255" s="57">
        <v>141.12</v>
      </c>
      <c r="K255" s="57">
        <v>87</v>
      </c>
      <c r="L255" s="57">
        <v>0</v>
      </c>
      <c r="M255" s="57">
        <v>0</v>
      </c>
      <c r="N255" s="57">
        <v>0</v>
      </c>
    </row>
    <row r="256" spans="2:14" x14ac:dyDescent="0.2">
      <c r="B256" s="60"/>
      <c r="C256" s="59"/>
      <c r="D256" s="263" t="s">
        <v>350</v>
      </c>
      <c r="E256" s="263"/>
      <c r="F256" s="263"/>
      <c r="G256" s="70">
        <f>G257+G259+G261</f>
        <v>0</v>
      </c>
      <c r="H256" s="70">
        <f t="shared" ref="H256:N256" si="76">H257+H259+H261</f>
        <v>129228</v>
      </c>
      <c r="I256" s="70">
        <f t="shared" si="76"/>
        <v>99596</v>
      </c>
      <c r="J256" s="70">
        <f t="shared" si="76"/>
        <v>147705.99</v>
      </c>
      <c r="K256" s="70">
        <f t="shared" si="76"/>
        <v>159921.60999999999</v>
      </c>
      <c r="L256" s="70">
        <f t="shared" si="76"/>
        <v>191852</v>
      </c>
      <c r="M256" s="70">
        <f t="shared" si="76"/>
        <v>126783</v>
      </c>
      <c r="N256" s="70">
        <f t="shared" si="76"/>
        <v>191747</v>
      </c>
    </row>
    <row r="257" spans="2:14" x14ac:dyDescent="0.2">
      <c r="B257" s="60"/>
      <c r="C257" s="59"/>
      <c r="D257" s="59"/>
      <c r="E257" s="271" t="s">
        <v>159</v>
      </c>
      <c r="F257" s="272"/>
      <c r="G257" s="73">
        <f>G258</f>
        <v>0</v>
      </c>
      <c r="H257" s="73">
        <f t="shared" ref="H257:N257" si="77">H258</f>
        <v>0</v>
      </c>
      <c r="I257" s="73">
        <f t="shared" si="77"/>
        <v>0</v>
      </c>
      <c r="J257" s="73">
        <f t="shared" si="77"/>
        <v>0</v>
      </c>
      <c r="K257" s="73">
        <f t="shared" si="77"/>
        <v>0</v>
      </c>
      <c r="L257" s="73">
        <f t="shared" si="77"/>
        <v>0</v>
      </c>
      <c r="M257" s="73">
        <f t="shared" si="77"/>
        <v>0</v>
      </c>
      <c r="N257" s="73">
        <f t="shared" si="77"/>
        <v>0</v>
      </c>
    </row>
    <row r="258" spans="2:14" x14ac:dyDescent="0.2">
      <c r="B258" s="60"/>
      <c r="C258" s="59"/>
      <c r="D258" s="59"/>
      <c r="E258" s="59"/>
      <c r="F258" s="140" t="s">
        <v>180</v>
      </c>
      <c r="G258" s="105">
        <v>0</v>
      </c>
      <c r="H258" s="57">
        <v>0</v>
      </c>
      <c r="I258" s="57">
        <v>0</v>
      </c>
      <c r="J258" s="57">
        <v>0</v>
      </c>
      <c r="K258" s="57">
        <v>0</v>
      </c>
      <c r="L258" s="57">
        <v>0</v>
      </c>
      <c r="M258" s="57">
        <v>0</v>
      </c>
      <c r="N258" s="57">
        <v>0</v>
      </c>
    </row>
    <row r="259" spans="2:14" x14ac:dyDescent="0.2">
      <c r="B259" s="60"/>
      <c r="C259" s="59"/>
      <c r="D259" s="59"/>
      <c r="E259" s="261" t="s">
        <v>181</v>
      </c>
      <c r="F259" s="261"/>
      <c r="G259" s="61">
        <f>G260</f>
        <v>0</v>
      </c>
      <c r="H259" s="61">
        <f t="shared" ref="H259:N259" si="78">H260</f>
        <v>0</v>
      </c>
      <c r="I259" s="61">
        <f t="shared" si="78"/>
        <v>8950</v>
      </c>
      <c r="J259" s="61">
        <f t="shared" si="78"/>
        <v>1504.48</v>
      </c>
      <c r="K259" s="61">
        <f t="shared" si="78"/>
        <v>600</v>
      </c>
      <c r="L259" s="61">
        <f t="shared" si="78"/>
        <v>0</v>
      </c>
      <c r="M259" s="61">
        <f t="shared" si="78"/>
        <v>0</v>
      </c>
      <c r="N259" s="61">
        <f t="shared" si="78"/>
        <v>0</v>
      </c>
    </row>
    <row r="260" spans="2:14" x14ac:dyDescent="0.2">
      <c r="B260" s="60"/>
      <c r="C260" s="59"/>
      <c r="D260" s="59"/>
      <c r="E260" s="59"/>
      <c r="F260" s="139" t="s">
        <v>163</v>
      </c>
      <c r="G260" s="105">
        <v>0</v>
      </c>
      <c r="H260" s="57">
        <v>0</v>
      </c>
      <c r="I260" s="57">
        <v>8950</v>
      </c>
      <c r="J260" s="57">
        <v>1504.48</v>
      </c>
      <c r="K260" s="57">
        <v>600</v>
      </c>
      <c r="L260" s="57">
        <v>0</v>
      </c>
      <c r="M260" s="57">
        <v>0</v>
      </c>
      <c r="N260" s="57">
        <v>0</v>
      </c>
    </row>
    <row r="261" spans="2:14" x14ac:dyDescent="0.2">
      <c r="B261" s="60"/>
      <c r="C261" s="59"/>
      <c r="D261" s="59"/>
      <c r="E261" s="273" t="s">
        <v>182</v>
      </c>
      <c r="F261" s="273"/>
      <c r="G261" s="70">
        <f>SUM(G262:G266)</f>
        <v>0</v>
      </c>
      <c r="H261" s="70">
        <f t="shared" ref="H261:N261" si="79">SUM(H262:H266)</f>
        <v>129228</v>
      </c>
      <c r="I261" s="70">
        <f t="shared" si="79"/>
        <v>90646</v>
      </c>
      <c r="J261" s="70">
        <f t="shared" si="79"/>
        <v>146201.50999999998</v>
      </c>
      <c r="K261" s="70">
        <f t="shared" si="79"/>
        <v>159321.60999999999</v>
      </c>
      <c r="L261" s="70">
        <f t="shared" si="79"/>
        <v>191852</v>
      </c>
      <c r="M261" s="70">
        <f t="shared" si="79"/>
        <v>126783</v>
      </c>
      <c r="N261" s="70">
        <f t="shared" si="79"/>
        <v>191747</v>
      </c>
    </row>
    <row r="262" spans="2:14" x14ac:dyDescent="0.2">
      <c r="B262" s="60"/>
      <c r="C262" s="59"/>
      <c r="D262" s="59"/>
      <c r="E262" s="59"/>
      <c r="F262" s="140" t="s">
        <v>165</v>
      </c>
      <c r="G262" s="105">
        <v>0</v>
      </c>
      <c r="H262" s="63">
        <v>0</v>
      </c>
      <c r="I262" s="63">
        <v>1926</v>
      </c>
      <c r="J262" s="63">
        <v>181.27</v>
      </c>
      <c r="K262" s="63">
        <v>580.09</v>
      </c>
      <c r="L262" s="63">
        <v>0</v>
      </c>
      <c r="M262" s="57">
        <v>0</v>
      </c>
      <c r="N262" s="63">
        <v>0</v>
      </c>
    </row>
    <row r="263" spans="2:14" x14ac:dyDescent="0.2">
      <c r="B263" s="60"/>
      <c r="C263" s="59"/>
      <c r="D263" s="59"/>
      <c r="E263" s="59"/>
      <c r="F263" s="139" t="s">
        <v>166</v>
      </c>
      <c r="G263" s="105">
        <v>0</v>
      </c>
      <c r="H263" s="57">
        <v>0</v>
      </c>
      <c r="I263" s="57">
        <v>0</v>
      </c>
      <c r="J263" s="57">
        <v>225</v>
      </c>
      <c r="K263" s="57">
        <v>292.66000000000003</v>
      </c>
      <c r="L263" s="57">
        <v>3000</v>
      </c>
      <c r="M263" s="57">
        <v>1000</v>
      </c>
      <c r="N263" s="57">
        <v>3000</v>
      </c>
    </row>
    <row r="264" spans="2:14" x14ac:dyDescent="0.2">
      <c r="B264" s="60"/>
      <c r="C264" s="59"/>
      <c r="D264" s="59"/>
      <c r="E264" s="59"/>
      <c r="F264" s="139" t="s">
        <v>167</v>
      </c>
      <c r="G264" s="105">
        <v>0</v>
      </c>
      <c r="H264" s="63">
        <v>127054</v>
      </c>
      <c r="I264" s="57">
        <v>0</v>
      </c>
      <c r="J264" s="57">
        <v>0</v>
      </c>
      <c r="K264" s="57">
        <v>0</v>
      </c>
      <c r="L264" s="57">
        <v>0</v>
      </c>
      <c r="M264" s="57">
        <v>0</v>
      </c>
      <c r="N264" s="57">
        <v>0</v>
      </c>
    </row>
    <row r="265" spans="2:14" x14ac:dyDescent="0.2">
      <c r="B265" s="60"/>
      <c r="C265" s="59"/>
      <c r="D265" s="59"/>
      <c r="E265" s="59"/>
      <c r="F265" s="139" t="s">
        <v>168</v>
      </c>
      <c r="G265" s="105">
        <v>0</v>
      </c>
      <c r="H265" s="63">
        <v>2174</v>
      </c>
      <c r="I265" s="57">
        <v>298</v>
      </c>
      <c r="J265" s="57">
        <f>795+159</f>
        <v>954</v>
      </c>
      <c r="K265" s="57">
        <v>8561.86</v>
      </c>
      <c r="L265" s="57">
        <v>0</v>
      </c>
      <c r="M265" s="57">
        <v>0</v>
      </c>
      <c r="N265" s="57">
        <v>0</v>
      </c>
    </row>
    <row r="266" spans="2:14" x14ac:dyDescent="0.2">
      <c r="B266" s="60"/>
      <c r="C266" s="59"/>
      <c r="D266" s="59"/>
      <c r="E266" s="59"/>
      <c r="F266" s="139" t="s">
        <v>175</v>
      </c>
      <c r="G266" s="105">
        <v>0</v>
      </c>
      <c r="H266" s="57">
        <v>0</v>
      </c>
      <c r="I266" s="57">
        <v>88422</v>
      </c>
      <c r="J266" s="57">
        <v>144841.24</v>
      </c>
      <c r="K266" s="57">
        <v>149887</v>
      </c>
      <c r="L266" s="57">
        <v>188852</v>
      </c>
      <c r="M266" s="57">
        <v>125783</v>
      </c>
      <c r="N266" s="57">
        <v>188747</v>
      </c>
    </row>
    <row r="267" spans="2:14" x14ac:dyDescent="0.2">
      <c r="B267" s="60"/>
      <c r="C267" s="59"/>
      <c r="D267" s="268" t="s">
        <v>351</v>
      </c>
      <c r="E267" s="269"/>
      <c r="F267" s="269"/>
      <c r="G267" s="70">
        <f>G268+G274+G277</f>
        <v>693817</v>
      </c>
      <c r="H267" s="70">
        <f t="shared" ref="H267:L267" si="80">H268+H274+H277</f>
        <v>727561</v>
      </c>
      <c r="I267" s="70">
        <f t="shared" si="80"/>
        <v>1161392</v>
      </c>
      <c r="J267" s="70">
        <f t="shared" si="80"/>
        <v>1142288.5499999998</v>
      </c>
      <c r="K267" s="70">
        <f t="shared" si="80"/>
        <v>1153306.4000000001</v>
      </c>
      <c r="L267" s="70">
        <f t="shared" si="80"/>
        <v>1300359</v>
      </c>
      <c r="M267" s="70">
        <f>M268+M274+M277</f>
        <v>1187507</v>
      </c>
      <c r="N267" s="70">
        <f t="shared" ref="N267" si="81">N268+N274+N277</f>
        <v>1260234</v>
      </c>
    </row>
    <row r="268" spans="2:14" x14ac:dyDescent="0.2">
      <c r="B268" s="60"/>
      <c r="C268" s="59"/>
      <c r="D268" s="59"/>
      <c r="E268" s="261" t="s">
        <v>183</v>
      </c>
      <c r="F268" s="261"/>
      <c r="G268" s="73">
        <f>SUM(G269:G273)</f>
        <v>685003</v>
      </c>
      <c r="H268" s="73">
        <f t="shared" ref="H268:N268" si="82">SUM(H269:H273)</f>
        <v>713976</v>
      </c>
      <c r="I268" s="73">
        <f t="shared" si="82"/>
        <v>922800</v>
      </c>
      <c r="J268" s="73">
        <f t="shared" si="82"/>
        <v>1103048.8799999999</v>
      </c>
      <c r="K268" s="73">
        <f t="shared" si="82"/>
        <v>1101997.82</v>
      </c>
      <c r="L268" s="73">
        <f t="shared" si="82"/>
        <v>1152334</v>
      </c>
      <c r="M268" s="73">
        <f t="shared" si="82"/>
        <v>1101283</v>
      </c>
      <c r="N268" s="73">
        <f t="shared" si="82"/>
        <v>1156958</v>
      </c>
    </row>
    <row r="269" spans="2:14" x14ac:dyDescent="0.2">
      <c r="B269" s="60"/>
      <c r="C269" s="59"/>
      <c r="D269" s="59"/>
      <c r="E269" s="59"/>
      <c r="F269" s="139" t="s">
        <v>160</v>
      </c>
      <c r="G269" s="105">
        <v>680586</v>
      </c>
      <c r="H269" s="63">
        <v>678122</v>
      </c>
      <c r="I269" s="63">
        <v>910377</v>
      </c>
      <c r="J269" s="63">
        <f>1095524.81</f>
        <v>1095524.81</v>
      </c>
      <c r="K269" s="57">
        <v>1095393</v>
      </c>
      <c r="L269" s="57">
        <v>1142434</v>
      </c>
      <c r="M269" s="57">
        <v>1094076</v>
      </c>
      <c r="N269" s="57">
        <v>1147058</v>
      </c>
    </row>
    <row r="270" spans="2:14" x14ac:dyDescent="0.2">
      <c r="B270" s="60"/>
      <c r="C270" s="59"/>
      <c r="D270" s="59"/>
      <c r="E270" s="59"/>
      <c r="F270" s="139" t="s">
        <v>161</v>
      </c>
      <c r="G270" s="105">
        <v>0</v>
      </c>
      <c r="H270" s="57">
        <v>30601</v>
      </c>
      <c r="I270" s="57">
        <v>8360</v>
      </c>
      <c r="J270" s="57">
        <v>5391.9</v>
      </c>
      <c r="K270" s="57">
        <v>4396.5</v>
      </c>
      <c r="L270" s="57">
        <v>5500</v>
      </c>
      <c r="M270" s="57">
        <v>5007</v>
      </c>
      <c r="N270" s="57">
        <v>5500</v>
      </c>
    </row>
    <row r="271" spans="2:14" x14ac:dyDescent="0.2">
      <c r="B271" s="60"/>
      <c r="C271" s="59"/>
      <c r="D271" s="59"/>
      <c r="E271" s="59"/>
      <c r="F271" s="139" t="s">
        <v>179</v>
      </c>
      <c r="G271" s="105">
        <v>0</v>
      </c>
      <c r="H271" s="57">
        <v>0</v>
      </c>
      <c r="I271" s="57">
        <v>540</v>
      </c>
      <c r="J271" s="57">
        <v>0</v>
      </c>
      <c r="K271" s="57">
        <v>0</v>
      </c>
      <c r="L271" s="57">
        <v>0</v>
      </c>
      <c r="M271" s="57">
        <v>0</v>
      </c>
      <c r="N271" s="57">
        <v>0</v>
      </c>
    </row>
    <row r="272" spans="2:14" x14ac:dyDescent="0.2">
      <c r="B272" s="60"/>
      <c r="C272" s="59"/>
      <c r="D272" s="59"/>
      <c r="E272" s="59"/>
      <c r="F272" s="139" t="s">
        <v>184</v>
      </c>
      <c r="G272" s="105">
        <v>4417</v>
      </c>
      <c r="H272" s="57">
        <v>3909</v>
      </c>
      <c r="I272" s="57">
        <v>2234</v>
      </c>
      <c r="J272" s="57">
        <v>2132.17</v>
      </c>
      <c r="K272" s="57">
        <v>2208.3200000000002</v>
      </c>
      <c r="L272" s="57">
        <v>4400</v>
      </c>
      <c r="M272" s="57">
        <v>2200</v>
      </c>
      <c r="N272" s="57">
        <v>4400</v>
      </c>
    </row>
    <row r="273" spans="2:14" x14ac:dyDescent="0.2">
      <c r="B273" s="60"/>
      <c r="C273" s="59"/>
      <c r="D273" s="59"/>
      <c r="E273" s="59"/>
      <c r="F273" s="139" t="s">
        <v>172</v>
      </c>
      <c r="G273" s="105">
        <v>0</v>
      </c>
      <c r="H273" s="57">
        <v>1344</v>
      </c>
      <c r="I273" s="57">
        <v>1289</v>
      </c>
      <c r="J273" s="57">
        <v>0</v>
      </c>
      <c r="K273" s="57">
        <v>0</v>
      </c>
      <c r="L273" s="57">
        <v>0</v>
      </c>
      <c r="M273" s="57">
        <v>0</v>
      </c>
      <c r="N273" s="57">
        <v>0</v>
      </c>
    </row>
    <row r="274" spans="2:14" x14ac:dyDescent="0.2">
      <c r="B274" s="60"/>
      <c r="C274" s="59"/>
      <c r="D274" s="59"/>
      <c r="E274" s="262" t="s">
        <v>185</v>
      </c>
      <c r="F274" s="262"/>
      <c r="G274" s="70">
        <f>SUM(G275:G276)</f>
        <v>0</v>
      </c>
      <c r="H274" s="70">
        <f t="shared" ref="H274:N274" si="83">SUM(H275:H276)</f>
        <v>2442</v>
      </c>
      <c r="I274" s="70">
        <f t="shared" si="83"/>
        <v>16683</v>
      </c>
      <c r="J274" s="70">
        <f t="shared" si="83"/>
        <v>0</v>
      </c>
      <c r="K274" s="70">
        <f t="shared" si="83"/>
        <v>0</v>
      </c>
      <c r="L274" s="70">
        <f t="shared" si="83"/>
        <v>64400</v>
      </c>
      <c r="M274" s="70">
        <f t="shared" si="83"/>
        <v>10000</v>
      </c>
      <c r="N274" s="70">
        <f t="shared" si="83"/>
        <v>20000</v>
      </c>
    </row>
    <row r="275" spans="2:14" x14ac:dyDescent="0.2">
      <c r="B275" s="60"/>
      <c r="C275" s="59"/>
      <c r="D275" s="59"/>
      <c r="E275" s="59"/>
      <c r="F275" s="139" t="s">
        <v>163</v>
      </c>
      <c r="G275" s="105">
        <v>0</v>
      </c>
      <c r="H275" s="63">
        <v>2442</v>
      </c>
      <c r="I275" s="63">
        <v>16683</v>
      </c>
      <c r="J275" s="63">
        <v>0</v>
      </c>
      <c r="K275" s="63">
        <v>0</v>
      </c>
      <c r="L275" s="63">
        <v>0</v>
      </c>
      <c r="M275" s="57">
        <v>0</v>
      </c>
      <c r="N275" s="63">
        <v>0</v>
      </c>
    </row>
    <row r="276" spans="2:14" x14ac:dyDescent="0.2">
      <c r="B276" s="60"/>
      <c r="C276" s="59"/>
      <c r="D276" s="59"/>
      <c r="E276" s="59"/>
      <c r="F276" s="139" t="s">
        <v>186</v>
      </c>
      <c r="G276" s="105">
        <v>0</v>
      </c>
      <c r="H276" s="57">
        <v>0</v>
      </c>
      <c r="I276" s="57">
        <v>0</v>
      </c>
      <c r="J276" s="57">
        <v>0</v>
      </c>
      <c r="K276" s="57">
        <v>0</v>
      </c>
      <c r="L276" s="57">
        <v>64400</v>
      </c>
      <c r="M276" s="57">
        <v>10000</v>
      </c>
      <c r="N276" s="57">
        <v>20000</v>
      </c>
    </row>
    <row r="277" spans="2:14" x14ac:dyDescent="0.2">
      <c r="B277" s="60"/>
      <c r="C277" s="59"/>
      <c r="D277" s="59"/>
      <c r="E277" s="261" t="s">
        <v>170</v>
      </c>
      <c r="F277" s="261"/>
      <c r="G277" s="70">
        <f>SUM(G278:G282)</f>
        <v>8814</v>
      </c>
      <c r="H277" s="70">
        <f t="shared" ref="H277:N277" si="84">SUM(H278:H282)</f>
        <v>11143</v>
      </c>
      <c r="I277" s="70">
        <f t="shared" si="84"/>
        <v>221909</v>
      </c>
      <c r="J277" s="70">
        <f t="shared" si="84"/>
        <v>39239.67</v>
      </c>
      <c r="K277" s="70">
        <f t="shared" si="84"/>
        <v>51308.58</v>
      </c>
      <c r="L277" s="70">
        <f t="shared" si="84"/>
        <v>83625</v>
      </c>
      <c r="M277" s="70">
        <f t="shared" si="84"/>
        <v>76224</v>
      </c>
      <c r="N277" s="70">
        <f t="shared" si="84"/>
        <v>83276</v>
      </c>
    </row>
    <row r="278" spans="2:14" x14ac:dyDescent="0.2">
      <c r="B278" s="60"/>
      <c r="C278" s="59"/>
      <c r="D278" s="59"/>
      <c r="E278" s="59"/>
      <c r="F278" s="139" t="s">
        <v>165</v>
      </c>
      <c r="G278" s="105">
        <v>5979</v>
      </c>
      <c r="H278" s="63">
        <v>4970</v>
      </c>
      <c r="I278" s="63">
        <v>2754</v>
      </c>
      <c r="J278" s="63">
        <f>3030.13+2585.6</f>
        <v>5615.73</v>
      </c>
      <c r="K278" s="63">
        <v>4690.88</v>
      </c>
      <c r="L278" s="63">
        <v>5150</v>
      </c>
      <c r="M278" s="57">
        <v>4389</v>
      </c>
      <c r="N278" s="63">
        <v>5150</v>
      </c>
    </row>
    <row r="279" spans="2:14" x14ac:dyDescent="0.2">
      <c r="B279" s="60"/>
      <c r="C279" s="59"/>
      <c r="D279" s="59"/>
      <c r="E279" s="59"/>
      <c r="F279" s="139" t="s">
        <v>166</v>
      </c>
      <c r="G279" s="105">
        <v>115</v>
      </c>
      <c r="H279" s="63">
        <v>1053</v>
      </c>
      <c r="I279" s="57">
        <v>86</v>
      </c>
      <c r="J279" s="57">
        <f>239.3+522.2</f>
        <v>761.5</v>
      </c>
      <c r="K279" s="57">
        <v>1472.85</v>
      </c>
      <c r="L279" s="57">
        <v>625</v>
      </c>
      <c r="M279" s="57">
        <v>276</v>
      </c>
      <c r="N279" s="57">
        <v>526</v>
      </c>
    </row>
    <row r="280" spans="2:14" x14ac:dyDescent="0.2">
      <c r="B280" s="60"/>
      <c r="C280" s="59"/>
      <c r="D280" s="59"/>
      <c r="E280" s="59"/>
      <c r="F280" s="139" t="s">
        <v>187</v>
      </c>
      <c r="G280" s="105">
        <v>750</v>
      </c>
      <c r="H280" s="63">
        <v>1203</v>
      </c>
      <c r="I280" s="57">
        <v>0</v>
      </c>
      <c r="J280" s="57">
        <f>442.44</f>
        <v>442.44</v>
      </c>
      <c r="K280" s="57">
        <v>132.09</v>
      </c>
      <c r="L280" s="57">
        <v>850</v>
      </c>
      <c r="M280" s="57">
        <v>125</v>
      </c>
      <c r="N280" s="57">
        <v>850</v>
      </c>
    </row>
    <row r="281" spans="2:14" x14ac:dyDescent="0.2">
      <c r="B281" s="60"/>
      <c r="C281" s="59"/>
      <c r="D281" s="59"/>
      <c r="E281" s="59"/>
      <c r="F281" s="139" t="s">
        <v>167</v>
      </c>
      <c r="G281" s="105">
        <v>0</v>
      </c>
      <c r="H281" s="57">
        <v>0</v>
      </c>
      <c r="I281" s="57">
        <v>210671</v>
      </c>
      <c r="J281" s="57">
        <f>17937</f>
        <v>17937</v>
      </c>
      <c r="K281" s="57">
        <v>25631.759999999998</v>
      </c>
      <c r="L281" s="57">
        <v>39000</v>
      </c>
      <c r="M281" s="57">
        <v>39000</v>
      </c>
      <c r="N281" s="57">
        <v>39000</v>
      </c>
    </row>
    <row r="282" spans="2:14" x14ac:dyDescent="0.2">
      <c r="B282" s="60"/>
      <c r="C282" s="59"/>
      <c r="D282" s="59"/>
      <c r="E282" s="59"/>
      <c r="F282" s="139" t="s">
        <v>168</v>
      </c>
      <c r="G282" s="105">
        <v>1970</v>
      </c>
      <c r="H282" s="57">
        <v>3917</v>
      </c>
      <c r="I282" s="57">
        <v>8398</v>
      </c>
      <c r="J282" s="57">
        <f>155.24+12783.76+1544</f>
        <v>14483</v>
      </c>
      <c r="K282" s="57">
        <v>19381</v>
      </c>
      <c r="L282" s="57">
        <v>38000</v>
      </c>
      <c r="M282" s="57">
        <v>32434</v>
      </c>
      <c r="N282" s="57">
        <v>37750</v>
      </c>
    </row>
    <row r="283" spans="2:14" x14ac:dyDescent="0.2">
      <c r="B283" s="60"/>
      <c r="C283" s="59"/>
      <c r="D283" s="268" t="s">
        <v>352</v>
      </c>
      <c r="E283" s="269"/>
      <c r="F283" s="269"/>
      <c r="G283" s="70">
        <f>G284+G289</f>
        <v>241000</v>
      </c>
      <c r="H283" s="70">
        <f t="shared" ref="H283:N283" si="85">H284+H289</f>
        <v>172053</v>
      </c>
      <c r="I283" s="70">
        <f t="shared" si="85"/>
        <v>300509</v>
      </c>
      <c r="J283" s="70">
        <f t="shared" si="85"/>
        <v>224827.60999999996</v>
      </c>
      <c r="K283" s="70">
        <f t="shared" si="85"/>
        <v>515439.94</v>
      </c>
      <c r="L283" s="70">
        <f t="shared" si="85"/>
        <v>342331</v>
      </c>
      <c r="M283" s="70">
        <f t="shared" si="85"/>
        <v>349199</v>
      </c>
      <c r="N283" s="70">
        <f t="shared" si="85"/>
        <v>347903</v>
      </c>
    </row>
    <row r="284" spans="2:14" x14ac:dyDescent="0.2">
      <c r="B284" s="60"/>
      <c r="C284" s="59"/>
      <c r="D284" s="59"/>
      <c r="E284" s="268" t="s">
        <v>159</v>
      </c>
      <c r="F284" s="268"/>
      <c r="G284" s="68">
        <f>SUM(G285:G288)</f>
        <v>238788</v>
      </c>
      <c r="H284" s="68">
        <f t="shared" ref="H284:N284" si="86">SUM(H285:H288)</f>
        <v>166180</v>
      </c>
      <c r="I284" s="68">
        <f t="shared" si="86"/>
        <v>192015</v>
      </c>
      <c r="J284" s="68">
        <f t="shared" si="86"/>
        <v>178564.22999999995</v>
      </c>
      <c r="K284" s="68">
        <f t="shared" si="86"/>
        <v>317022.39</v>
      </c>
      <c r="L284" s="68">
        <f t="shared" si="86"/>
        <v>328831</v>
      </c>
      <c r="M284" s="68">
        <f t="shared" si="86"/>
        <v>335749</v>
      </c>
      <c r="N284" s="68">
        <f t="shared" si="86"/>
        <v>331703</v>
      </c>
    </row>
    <row r="285" spans="2:14" x14ac:dyDescent="0.2">
      <c r="B285" s="60"/>
      <c r="C285" s="59"/>
      <c r="D285" s="59"/>
      <c r="E285" s="59"/>
      <c r="F285" s="139" t="s">
        <v>160</v>
      </c>
      <c r="G285" s="105">
        <v>238578</v>
      </c>
      <c r="H285" s="57">
        <v>166180</v>
      </c>
      <c r="I285" s="57">
        <v>192015</v>
      </c>
      <c r="J285" s="57">
        <v>288830.03999999998</v>
      </c>
      <c r="K285" s="57">
        <v>317022.39</v>
      </c>
      <c r="L285" s="57">
        <v>328831</v>
      </c>
      <c r="M285" s="57">
        <v>335749</v>
      </c>
      <c r="N285" s="57">
        <v>331703</v>
      </c>
    </row>
    <row r="286" spans="2:14" x14ac:dyDescent="0.2">
      <c r="B286" s="60"/>
      <c r="C286" s="59"/>
      <c r="D286" s="59"/>
      <c r="E286" s="59"/>
      <c r="F286" s="140" t="s">
        <v>180</v>
      </c>
      <c r="G286" s="105">
        <v>210</v>
      </c>
      <c r="H286" s="57">
        <v>0</v>
      </c>
      <c r="I286" s="57">
        <v>0</v>
      </c>
      <c r="J286" s="57">
        <v>0</v>
      </c>
      <c r="K286" s="57">
        <v>0</v>
      </c>
      <c r="L286" s="57">
        <v>0</v>
      </c>
      <c r="M286" s="57">
        <v>0</v>
      </c>
      <c r="N286" s="57">
        <v>0</v>
      </c>
    </row>
    <row r="287" spans="2:14" x14ac:dyDescent="0.2">
      <c r="B287" s="60"/>
      <c r="C287" s="59"/>
      <c r="D287" s="59"/>
      <c r="E287" s="59"/>
      <c r="F287" s="139" t="s">
        <v>172</v>
      </c>
      <c r="G287" s="105">
        <v>0</v>
      </c>
      <c r="H287" s="57">
        <v>0</v>
      </c>
      <c r="I287" s="57">
        <v>0</v>
      </c>
      <c r="J287" s="57">
        <v>1489.41</v>
      </c>
      <c r="K287" s="57">
        <v>0</v>
      </c>
      <c r="L287" s="57">
        <v>0</v>
      </c>
      <c r="M287" s="57">
        <v>0</v>
      </c>
      <c r="N287" s="57">
        <v>0</v>
      </c>
    </row>
    <row r="288" spans="2:14" x14ac:dyDescent="0.2">
      <c r="B288" s="60"/>
      <c r="C288" s="59"/>
      <c r="D288" s="59"/>
      <c r="E288" s="59"/>
      <c r="F288" s="139" t="s">
        <v>174</v>
      </c>
      <c r="G288" s="105">
        <v>0</v>
      </c>
      <c r="H288" s="57">
        <v>0</v>
      </c>
      <c r="I288" s="57">
        <v>0</v>
      </c>
      <c r="J288" s="57">
        <v>-111755.22</v>
      </c>
      <c r="K288" s="57">
        <v>0</v>
      </c>
      <c r="L288" s="57">
        <v>0</v>
      </c>
      <c r="M288" s="57">
        <v>0</v>
      </c>
      <c r="N288" s="57">
        <v>0</v>
      </c>
    </row>
    <row r="289" spans="2:14" x14ac:dyDescent="0.2">
      <c r="B289" s="60"/>
      <c r="C289" s="59"/>
      <c r="D289" s="59"/>
      <c r="E289" s="261" t="s">
        <v>170</v>
      </c>
      <c r="F289" s="261"/>
      <c r="G289" s="67">
        <f>SUM(G290:G294)</f>
        <v>2212</v>
      </c>
      <c r="H289" s="67">
        <f t="shared" ref="H289:N289" si="87">SUM(H290:H294)</f>
        <v>5873</v>
      </c>
      <c r="I289" s="67">
        <f t="shared" si="87"/>
        <v>108494</v>
      </c>
      <c r="J289" s="67">
        <f t="shared" si="87"/>
        <v>46263.380000000005</v>
      </c>
      <c r="K289" s="67">
        <f t="shared" si="87"/>
        <v>198417.55</v>
      </c>
      <c r="L289" s="67">
        <f t="shared" si="87"/>
        <v>13500</v>
      </c>
      <c r="M289" s="67">
        <f t="shared" si="87"/>
        <v>13450</v>
      </c>
      <c r="N289" s="67">
        <f t="shared" si="87"/>
        <v>16200</v>
      </c>
    </row>
    <row r="290" spans="2:14" x14ac:dyDescent="0.2">
      <c r="B290" s="60"/>
      <c r="C290" s="59"/>
      <c r="D290" s="59"/>
      <c r="E290" s="59"/>
      <c r="F290" s="139" t="s">
        <v>165</v>
      </c>
      <c r="G290" s="105">
        <v>2209</v>
      </c>
      <c r="H290" s="57">
        <v>2447</v>
      </c>
      <c r="I290" s="57">
        <v>3002</v>
      </c>
      <c r="J290" s="57">
        <f>2336.57+2145.77</f>
        <v>4482.34</v>
      </c>
      <c r="K290" s="57">
        <v>2249.6400000000003</v>
      </c>
      <c r="L290" s="57">
        <v>3500</v>
      </c>
      <c r="M290" s="57">
        <v>2500</v>
      </c>
      <c r="N290" s="57">
        <v>3500</v>
      </c>
    </row>
    <row r="291" spans="2:14" x14ac:dyDescent="0.2">
      <c r="B291" s="60"/>
      <c r="C291" s="59"/>
      <c r="D291" s="59"/>
      <c r="E291" s="59"/>
      <c r="F291" s="139" t="s">
        <v>167</v>
      </c>
      <c r="G291" s="105">
        <v>0</v>
      </c>
      <c r="H291" s="57">
        <v>73465</v>
      </c>
      <c r="I291" s="57">
        <v>0</v>
      </c>
      <c r="J291" s="57">
        <v>0</v>
      </c>
      <c r="K291" s="57">
        <v>0</v>
      </c>
      <c r="L291" s="57">
        <v>0</v>
      </c>
      <c r="M291" s="57">
        <v>0</v>
      </c>
      <c r="N291" s="57">
        <v>0</v>
      </c>
    </row>
    <row r="292" spans="2:14" x14ac:dyDescent="0.2">
      <c r="B292" s="60"/>
      <c r="C292" s="59"/>
      <c r="D292" s="59"/>
      <c r="E292" s="59"/>
      <c r="F292" s="139" t="s">
        <v>168</v>
      </c>
      <c r="G292" s="105">
        <v>3</v>
      </c>
      <c r="H292" s="57">
        <v>3350</v>
      </c>
      <c r="I292" s="57">
        <v>7207</v>
      </c>
      <c r="J292" s="57">
        <f>3967.97+2019+274</f>
        <v>6260.9699999999993</v>
      </c>
      <c r="K292" s="57">
        <v>5053.91</v>
      </c>
      <c r="L292" s="57">
        <v>10000</v>
      </c>
      <c r="M292" s="57">
        <v>10950</v>
      </c>
      <c r="N292" s="57">
        <v>12700</v>
      </c>
    </row>
    <row r="293" spans="2:14" x14ac:dyDescent="0.2">
      <c r="B293" s="60"/>
      <c r="C293" s="59"/>
      <c r="D293" s="59"/>
      <c r="E293" s="59"/>
      <c r="F293" s="139" t="s">
        <v>175</v>
      </c>
      <c r="G293" s="105">
        <v>0</v>
      </c>
      <c r="H293" s="57">
        <v>0</v>
      </c>
      <c r="I293" s="57">
        <v>98285</v>
      </c>
      <c r="J293" s="57">
        <v>64859.37</v>
      </c>
      <c r="K293" s="57">
        <v>191114</v>
      </c>
      <c r="L293" s="57">
        <v>0</v>
      </c>
      <c r="M293" s="57">
        <v>0</v>
      </c>
      <c r="N293" s="57">
        <v>0</v>
      </c>
    </row>
    <row r="294" spans="2:14" x14ac:dyDescent="0.2">
      <c r="B294" s="60"/>
      <c r="C294" s="59"/>
      <c r="D294" s="59"/>
      <c r="E294" s="59"/>
      <c r="F294" s="139" t="s">
        <v>177</v>
      </c>
      <c r="G294" s="105">
        <v>0</v>
      </c>
      <c r="H294" s="57">
        <v>-73389</v>
      </c>
      <c r="I294" s="57">
        <v>0</v>
      </c>
      <c r="J294" s="57">
        <v>-29339.3</v>
      </c>
      <c r="K294" s="57">
        <v>0</v>
      </c>
      <c r="L294" s="57">
        <v>0</v>
      </c>
      <c r="M294" s="57">
        <v>0</v>
      </c>
      <c r="N294" s="57">
        <v>0</v>
      </c>
    </row>
    <row r="295" spans="2:14" x14ac:dyDescent="0.2">
      <c r="B295" s="60"/>
      <c r="C295" s="59"/>
      <c r="D295" s="263" t="s">
        <v>353</v>
      </c>
      <c r="E295" s="276"/>
      <c r="F295" s="276"/>
      <c r="G295" s="70">
        <f>G296+G298</f>
        <v>24224</v>
      </c>
      <c r="H295" s="70">
        <f t="shared" ref="H295:N295" si="88">H296+H298</f>
        <v>33347</v>
      </c>
      <c r="I295" s="70">
        <f t="shared" si="88"/>
        <v>64817</v>
      </c>
      <c r="J295" s="70">
        <f t="shared" si="88"/>
        <v>65981.759999999995</v>
      </c>
      <c r="K295" s="70">
        <f t="shared" si="88"/>
        <v>69254.8</v>
      </c>
      <c r="L295" s="70">
        <f t="shared" si="88"/>
        <v>80500</v>
      </c>
      <c r="M295" s="70">
        <f t="shared" si="88"/>
        <v>80500</v>
      </c>
      <c r="N295" s="70">
        <f t="shared" si="88"/>
        <v>80500</v>
      </c>
    </row>
    <row r="296" spans="2:14" x14ac:dyDescent="0.2">
      <c r="B296" s="60"/>
      <c r="C296" s="59"/>
      <c r="D296" s="59"/>
      <c r="E296" s="263" t="s">
        <v>159</v>
      </c>
      <c r="F296" s="263"/>
      <c r="G296" s="66">
        <f>G297</f>
        <v>20168</v>
      </c>
      <c r="H296" s="66">
        <f t="shared" ref="H296:N296" si="89">H297</f>
        <v>18255</v>
      </c>
      <c r="I296" s="66">
        <f t="shared" si="89"/>
        <v>25108</v>
      </c>
      <c r="J296" s="66">
        <f t="shared" si="89"/>
        <v>13782.7</v>
      </c>
      <c r="K296" s="66">
        <f t="shared" si="89"/>
        <v>14250.03</v>
      </c>
      <c r="L296" s="66">
        <f t="shared" si="89"/>
        <v>25000</v>
      </c>
      <c r="M296" s="66">
        <f t="shared" si="89"/>
        <v>25000</v>
      </c>
      <c r="N296" s="66">
        <f t="shared" si="89"/>
        <v>25000</v>
      </c>
    </row>
    <row r="297" spans="2:14" x14ac:dyDescent="0.2">
      <c r="B297" s="60"/>
      <c r="C297" s="59"/>
      <c r="D297" s="59"/>
      <c r="E297" s="59"/>
      <c r="F297" s="139" t="s">
        <v>161</v>
      </c>
      <c r="G297" s="105">
        <v>20168</v>
      </c>
      <c r="H297" s="57">
        <v>18255</v>
      </c>
      <c r="I297" s="57">
        <v>25108</v>
      </c>
      <c r="J297" s="57">
        <v>13782.7</v>
      </c>
      <c r="K297" s="57">
        <v>14250.03</v>
      </c>
      <c r="L297" s="57">
        <v>25000</v>
      </c>
      <c r="M297" s="57">
        <v>25000</v>
      </c>
      <c r="N297" s="57">
        <v>25000</v>
      </c>
    </row>
    <row r="298" spans="2:14" x14ac:dyDescent="0.2">
      <c r="B298" s="60"/>
      <c r="C298" s="59"/>
      <c r="D298" s="59"/>
      <c r="E298" s="261" t="s">
        <v>170</v>
      </c>
      <c r="F298" s="261"/>
      <c r="G298" s="61">
        <f>G299</f>
        <v>4056</v>
      </c>
      <c r="H298" s="61">
        <f t="shared" ref="H298:L298" si="90">H299</f>
        <v>15092</v>
      </c>
      <c r="I298" s="61">
        <f t="shared" si="90"/>
        <v>39709</v>
      </c>
      <c r="J298" s="61">
        <f t="shared" si="90"/>
        <v>52199.06</v>
      </c>
      <c r="K298" s="61">
        <f t="shared" si="90"/>
        <v>55004.77</v>
      </c>
      <c r="L298" s="61">
        <f t="shared" si="90"/>
        <v>55500</v>
      </c>
      <c r="M298" s="61">
        <f>M299</f>
        <v>55500</v>
      </c>
      <c r="N298" s="61">
        <f t="shared" ref="N298" si="91">N299</f>
        <v>55500</v>
      </c>
    </row>
    <row r="299" spans="2:14" x14ac:dyDescent="0.2">
      <c r="B299" s="60"/>
      <c r="C299" s="59"/>
      <c r="D299" s="59"/>
      <c r="E299" s="59"/>
      <c r="F299" s="139" t="s">
        <v>167</v>
      </c>
      <c r="G299" s="105">
        <v>4056</v>
      </c>
      <c r="H299" s="57">
        <v>15092</v>
      </c>
      <c r="I299" s="57">
        <v>39709</v>
      </c>
      <c r="J299" s="57">
        <v>52199.06</v>
      </c>
      <c r="K299" s="57">
        <v>55004.77</v>
      </c>
      <c r="L299" s="57">
        <v>55500</v>
      </c>
      <c r="M299" s="57">
        <v>55500</v>
      </c>
      <c r="N299" s="57">
        <v>55500</v>
      </c>
    </row>
    <row r="300" spans="2:14" x14ac:dyDescent="0.2">
      <c r="B300" s="60"/>
      <c r="C300" s="59"/>
      <c r="D300" s="268" t="s">
        <v>354</v>
      </c>
      <c r="E300" s="269"/>
      <c r="F300" s="269"/>
      <c r="G300" s="70">
        <f>G301+G306+G308</f>
        <v>1787746</v>
      </c>
      <c r="H300" s="70">
        <f t="shared" ref="H300:K300" si="92">H301+H306+H308</f>
        <v>2563198</v>
      </c>
      <c r="I300" s="70">
        <f t="shared" si="92"/>
        <v>3375634</v>
      </c>
      <c r="J300" s="70">
        <f t="shared" si="92"/>
        <v>3936247.7600000002</v>
      </c>
      <c r="K300" s="70">
        <f t="shared" si="92"/>
        <v>2032688.0799999998</v>
      </c>
      <c r="L300" s="70">
        <f t="shared" ref="L300" si="93">L301+L306+L308</f>
        <v>1760051</v>
      </c>
      <c r="M300" s="70">
        <f t="shared" ref="M300" si="94">M301+M306+M308</f>
        <v>1629203</v>
      </c>
      <c r="N300" s="70">
        <f t="shared" ref="N300" si="95">N301+N306+N308</f>
        <v>1906171</v>
      </c>
    </row>
    <row r="301" spans="2:14" x14ac:dyDescent="0.2">
      <c r="B301" s="60"/>
      <c r="C301" s="59"/>
      <c r="D301" s="59"/>
      <c r="E301" s="263" t="s">
        <v>159</v>
      </c>
      <c r="F301" s="263"/>
      <c r="G301" s="66">
        <f>SUM(G302:G305)</f>
        <v>408512</v>
      </c>
      <c r="H301" s="66">
        <f t="shared" ref="H301:K301" si="96">SUM(H302:H305)</f>
        <v>688318</v>
      </c>
      <c r="I301" s="66">
        <f t="shared" si="96"/>
        <v>847656</v>
      </c>
      <c r="J301" s="66">
        <f t="shared" si="96"/>
        <v>745666.85000000009</v>
      </c>
      <c r="K301" s="66">
        <f t="shared" si="96"/>
        <v>395419.68</v>
      </c>
      <c r="L301" s="66">
        <f>SUM(L302:L305)</f>
        <v>508253</v>
      </c>
      <c r="M301" s="66">
        <f t="shared" ref="M301" si="97">SUM(M302:M305)</f>
        <v>428713</v>
      </c>
      <c r="N301" s="66">
        <f t="shared" ref="N301" si="98">SUM(N302:N305)</f>
        <v>576573</v>
      </c>
    </row>
    <row r="302" spans="2:14" x14ac:dyDescent="0.2">
      <c r="B302" s="60"/>
      <c r="C302" s="59"/>
      <c r="D302" s="59"/>
      <c r="E302" s="59"/>
      <c r="F302" s="139" t="s">
        <v>160</v>
      </c>
      <c r="G302" s="105">
        <v>432693</v>
      </c>
      <c r="H302" s="57">
        <v>658994</v>
      </c>
      <c r="I302" s="57">
        <v>830081</v>
      </c>
      <c r="J302" s="57">
        <v>754055.05</v>
      </c>
      <c r="K302" s="57">
        <v>384156.68</v>
      </c>
      <c r="L302" s="57">
        <v>503253</v>
      </c>
      <c r="M302" s="57">
        <v>424038</v>
      </c>
      <c r="N302" s="57">
        <v>571573</v>
      </c>
    </row>
    <row r="303" spans="2:14" x14ac:dyDescent="0.2">
      <c r="B303" s="60"/>
      <c r="C303" s="59"/>
      <c r="D303" s="59"/>
      <c r="E303" s="59"/>
      <c r="F303" s="139" t="s">
        <v>161</v>
      </c>
      <c r="G303" s="105">
        <v>53511</v>
      </c>
      <c r="H303" s="57">
        <v>29324</v>
      </c>
      <c r="I303" s="57">
        <v>14794</v>
      </c>
      <c r="J303" s="57">
        <v>0</v>
      </c>
      <c r="K303" s="57">
        <v>6090</v>
      </c>
      <c r="L303" s="57">
        <v>0</v>
      </c>
      <c r="M303" s="57">
        <v>0</v>
      </c>
      <c r="N303" s="57">
        <v>0</v>
      </c>
    </row>
    <row r="304" spans="2:14" x14ac:dyDescent="0.2">
      <c r="B304" s="60"/>
      <c r="C304" s="59"/>
      <c r="D304" s="59"/>
      <c r="E304" s="59"/>
      <c r="F304" s="139" t="s">
        <v>179</v>
      </c>
      <c r="G304" s="105">
        <v>0</v>
      </c>
      <c r="H304" s="57">
        <v>0</v>
      </c>
      <c r="I304" s="57">
        <v>5432</v>
      </c>
      <c r="J304" s="57">
        <v>5248.16</v>
      </c>
      <c r="K304" s="57">
        <v>5173</v>
      </c>
      <c r="L304" s="57">
        <v>5000</v>
      </c>
      <c r="M304" s="57">
        <v>4675</v>
      </c>
      <c r="N304" s="57">
        <v>5000</v>
      </c>
    </row>
    <row r="305" spans="2:14" x14ac:dyDescent="0.2">
      <c r="B305" s="60"/>
      <c r="C305" s="59"/>
      <c r="D305" s="59"/>
      <c r="E305" s="59"/>
      <c r="F305" s="139" t="s">
        <v>173</v>
      </c>
      <c r="G305" s="105">
        <v>-77692</v>
      </c>
      <c r="H305" s="57">
        <v>0</v>
      </c>
      <c r="I305" s="57">
        <v>-2651</v>
      </c>
      <c r="J305" s="57">
        <v>-13636.36</v>
      </c>
      <c r="K305" s="57">
        <v>0</v>
      </c>
      <c r="L305" s="57">
        <v>0</v>
      </c>
      <c r="M305" s="57">
        <v>0</v>
      </c>
      <c r="N305" s="57">
        <v>0</v>
      </c>
    </row>
    <row r="306" spans="2:14" x14ac:dyDescent="0.2">
      <c r="B306" s="60"/>
      <c r="C306" s="59"/>
      <c r="D306" s="59"/>
      <c r="E306" s="261" t="s">
        <v>162</v>
      </c>
      <c r="F306" s="261"/>
      <c r="G306" s="58">
        <f>G307</f>
        <v>0</v>
      </c>
      <c r="H306" s="58">
        <f t="shared" ref="H306:N306" si="99">H307</f>
        <v>1956</v>
      </c>
      <c r="I306" s="58">
        <f t="shared" si="99"/>
        <v>0</v>
      </c>
      <c r="J306" s="58">
        <f t="shared" si="99"/>
        <v>0</v>
      </c>
      <c r="K306" s="58">
        <f t="shared" si="99"/>
        <v>0</v>
      </c>
      <c r="L306" s="58">
        <f t="shared" si="99"/>
        <v>0</v>
      </c>
      <c r="M306" s="58">
        <f t="shared" si="99"/>
        <v>0</v>
      </c>
      <c r="N306" s="58">
        <f t="shared" si="99"/>
        <v>0</v>
      </c>
    </row>
    <row r="307" spans="2:14" x14ac:dyDescent="0.2">
      <c r="B307" s="60"/>
      <c r="C307" s="59"/>
      <c r="D307" s="59"/>
      <c r="E307" s="59"/>
      <c r="F307" s="136" t="s">
        <v>163</v>
      </c>
      <c r="G307" s="105">
        <v>0</v>
      </c>
      <c r="H307" s="63">
        <v>1956</v>
      </c>
      <c r="I307" s="63">
        <v>0</v>
      </c>
      <c r="J307" s="63">
        <v>0</v>
      </c>
      <c r="K307" s="57">
        <v>0</v>
      </c>
      <c r="L307" s="57">
        <v>0</v>
      </c>
      <c r="M307" s="57">
        <v>0</v>
      </c>
      <c r="N307" s="57">
        <v>0</v>
      </c>
    </row>
    <row r="308" spans="2:14" x14ac:dyDescent="0.2">
      <c r="B308" s="60"/>
      <c r="C308" s="59"/>
      <c r="D308" s="59"/>
      <c r="E308" s="261" t="s">
        <v>170</v>
      </c>
      <c r="F308" s="261"/>
      <c r="G308" s="67">
        <f>SUM(G309:G314)</f>
        <v>1379234</v>
      </c>
      <c r="H308" s="67">
        <f t="shared" ref="H308:K308" si="100">SUM(H309:H314)</f>
        <v>1872924</v>
      </c>
      <c r="I308" s="67">
        <f t="shared" si="100"/>
        <v>2527978</v>
      </c>
      <c r="J308" s="67">
        <f t="shared" si="100"/>
        <v>3190580.91</v>
      </c>
      <c r="K308" s="67">
        <f t="shared" si="100"/>
        <v>1637268.4</v>
      </c>
      <c r="L308" s="67">
        <f>SUM(L309:L314)</f>
        <v>1251798</v>
      </c>
      <c r="M308" s="67">
        <f t="shared" ref="M308" si="101">SUM(M309:M314)</f>
        <v>1200490</v>
      </c>
      <c r="N308" s="67">
        <f t="shared" ref="N308" si="102">SUM(N309:N314)</f>
        <v>1329598</v>
      </c>
    </row>
    <row r="309" spans="2:14" x14ac:dyDescent="0.2">
      <c r="B309" s="60"/>
      <c r="C309" s="59"/>
      <c r="D309" s="59"/>
      <c r="E309" s="59"/>
      <c r="F309" s="139" t="s">
        <v>165</v>
      </c>
      <c r="G309" s="105">
        <v>2122</v>
      </c>
      <c r="H309" s="57">
        <v>3534</v>
      </c>
      <c r="I309" s="57">
        <v>7860</v>
      </c>
      <c r="J309" s="57">
        <f>1158.97+464.75</f>
        <v>1623.72</v>
      </c>
      <c r="K309" s="57">
        <v>1434</v>
      </c>
      <c r="L309" s="57">
        <v>5700</v>
      </c>
      <c r="M309" s="57">
        <v>4000</v>
      </c>
      <c r="N309" s="57">
        <v>5700</v>
      </c>
    </row>
    <row r="310" spans="2:14" x14ac:dyDescent="0.2">
      <c r="B310" s="60"/>
      <c r="C310" s="59"/>
      <c r="D310" s="59"/>
      <c r="E310" s="59"/>
      <c r="F310" s="139" t="s">
        <v>166</v>
      </c>
      <c r="G310" s="105">
        <v>1075210</v>
      </c>
      <c r="H310" s="57">
        <v>1341998</v>
      </c>
      <c r="I310" s="57">
        <v>1514325</v>
      </c>
      <c r="J310" s="57">
        <f>2063829.29+2259+2723.05+1050</f>
        <v>2069861.34</v>
      </c>
      <c r="K310" s="57">
        <v>58018.91</v>
      </c>
      <c r="L310" s="57">
        <v>602478</v>
      </c>
      <c r="M310" s="57">
        <v>526395</v>
      </c>
      <c r="N310" s="57">
        <v>654678</v>
      </c>
    </row>
    <row r="311" spans="2:14" x14ac:dyDescent="0.2">
      <c r="B311" s="60"/>
      <c r="C311" s="59"/>
      <c r="D311" s="59"/>
      <c r="E311" s="59"/>
      <c r="F311" s="139" t="s">
        <v>178</v>
      </c>
      <c r="G311" s="105">
        <v>244767</v>
      </c>
      <c r="H311" s="57">
        <v>220049</v>
      </c>
      <c r="I311" s="57">
        <v>235441</v>
      </c>
      <c r="J311" s="57">
        <f>131772.12+134642.14</f>
        <v>266414.26</v>
      </c>
      <c r="K311" s="57">
        <v>281485.40000000002</v>
      </c>
      <c r="L311" s="57">
        <v>330120</v>
      </c>
      <c r="M311" s="57">
        <v>348045</v>
      </c>
      <c r="N311" s="57">
        <v>461220</v>
      </c>
    </row>
    <row r="312" spans="2:14" x14ac:dyDescent="0.2">
      <c r="B312" s="60"/>
      <c r="C312" s="59"/>
      <c r="D312" s="59"/>
      <c r="E312" s="59"/>
      <c r="F312" s="139" t="s">
        <v>167</v>
      </c>
      <c r="G312" s="105">
        <v>100122</v>
      </c>
      <c r="H312" s="57">
        <v>317239</v>
      </c>
      <c r="I312" s="57">
        <v>772919</v>
      </c>
      <c r="J312" s="57">
        <v>853538.76</v>
      </c>
      <c r="K312" s="57">
        <v>1307243.44</v>
      </c>
      <c r="L312" s="57">
        <v>325000</v>
      </c>
      <c r="M312" s="57">
        <v>332550</v>
      </c>
      <c r="N312" s="57">
        <v>216000</v>
      </c>
    </row>
    <row r="313" spans="2:14" x14ac:dyDescent="0.2">
      <c r="B313" s="60"/>
      <c r="C313" s="59"/>
      <c r="D313" s="59"/>
      <c r="E313" s="59"/>
      <c r="F313" s="139" t="s">
        <v>168</v>
      </c>
      <c r="G313" s="105">
        <v>0</v>
      </c>
      <c r="H313" s="57">
        <v>8041</v>
      </c>
      <c r="I313" s="57">
        <v>10838</v>
      </c>
      <c r="J313" s="57">
        <f>1661.21+5808.48+346</f>
        <v>7815.69</v>
      </c>
      <c r="K313" s="57">
        <v>150</v>
      </c>
      <c r="L313" s="57">
        <v>5500</v>
      </c>
      <c r="M313" s="57">
        <v>500</v>
      </c>
      <c r="N313" s="57">
        <v>3000</v>
      </c>
    </row>
    <row r="314" spans="2:14" x14ac:dyDescent="0.2">
      <c r="B314" s="60"/>
      <c r="C314" s="59"/>
      <c r="D314" s="59"/>
      <c r="E314" s="59"/>
      <c r="F314" s="139" t="s">
        <v>177</v>
      </c>
      <c r="G314" s="105">
        <v>-42987</v>
      </c>
      <c r="H314" s="57">
        <v>-17937</v>
      </c>
      <c r="I314" s="57">
        <v>-13405</v>
      </c>
      <c r="J314" s="57">
        <v>-8672.86</v>
      </c>
      <c r="K314" s="57">
        <v>-11063.35</v>
      </c>
      <c r="L314" s="57">
        <v>-17000</v>
      </c>
      <c r="M314" s="57">
        <v>-11000</v>
      </c>
      <c r="N314" s="57">
        <v>-11000</v>
      </c>
    </row>
    <row r="315" spans="2:14" x14ac:dyDescent="0.2">
      <c r="B315" s="60"/>
      <c r="C315" s="270" t="s">
        <v>32</v>
      </c>
      <c r="D315" s="270"/>
      <c r="E315" s="270"/>
      <c r="F315" s="270"/>
      <c r="G315" s="64">
        <f>G316+G330+G340+G351</f>
        <v>1985326</v>
      </c>
      <c r="H315" s="64">
        <f t="shared" ref="H315:K315" si="103">H316+H330+H340+H351</f>
        <v>2590507</v>
      </c>
      <c r="I315" s="64">
        <f t="shared" si="103"/>
        <v>3043626</v>
      </c>
      <c r="J315" s="64">
        <f t="shared" si="103"/>
        <v>3536366.5600000005</v>
      </c>
      <c r="K315" s="64">
        <f t="shared" si="103"/>
        <v>3989563.86</v>
      </c>
      <c r="L315" s="64">
        <f>L316+L330+L340+L351</f>
        <v>4571896</v>
      </c>
      <c r="M315" s="64">
        <f t="shared" ref="M315" si="104">M316+M330+M340+M351</f>
        <v>4425314</v>
      </c>
      <c r="N315" s="64">
        <f t="shared" ref="N315" si="105">N316+N330+N340+N351</f>
        <v>4489915</v>
      </c>
    </row>
    <row r="316" spans="2:14" x14ac:dyDescent="0.2">
      <c r="B316" s="60"/>
      <c r="C316" s="59"/>
      <c r="D316" s="268" t="s">
        <v>355</v>
      </c>
      <c r="E316" s="269"/>
      <c r="F316" s="269"/>
      <c r="G316" s="70">
        <v>865048</v>
      </c>
      <c r="H316" s="70">
        <v>997724</v>
      </c>
      <c r="I316" s="70">
        <v>1145093</v>
      </c>
      <c r="J316" s="70">
        <v>1041871.02</v>
      </c>
      <c r="K316" s="70">
        <v>1142112</v>
      </c>
      <c r="L316" s="70">
        <v>1214437</v>
      </c>
      <c r="M316" s="70">
        <v>1199704</v>
      </c>
      <c r="N316" s="70">
        <v>1210052</v>
      </c>
    </row>
    <row r="317" spans="2:14" x14ac:dyDescent="0.2">
      <c r="B317" s="60"/>
      <c r="C317" s="59"/>
      <c r="D317" s="59"/>
      <c r="E317" s="262" t="s">
        <v>188</v>
      </c>
      <c r="F317" s="262"/>
      <c r="G317" s="73">
        <f>SUM(G318:G321)</f>
        <v>644214</v>
      </c>
      <c r="H317" s="73">
        <f t="shared" ref="H317:K317" si="106">SUM(H318:H321)</f>
        <v>754881</v>
      </c>
      <c r="I317" s="73">
        <f t="shared" si="106"/>
        <v>849038</v>
      </c>
      <c r="J317" s="73">
        <f t="shared" si="106"/>
        <v>811878.41</v>
      </c>
      <c r="K317" s="73">
        <f t="shared" si="106"/>
        <v>891409.01</v>
      </c>
      <c r="L317" s="73">
        <f>SUM(L318:L321)</f>
        <v>937790</v>
      </c>
      <c r="M317" s="73">
        <v>949792</v>
      </c>
      <c r="N317" s="73">
        <v>943105</v>
      </c>
    </row>
    <row r="318" spans="2:14" x14ac:dyDescent="0.2">
      <c r="B318" s="60"/>
      <c r="C318" s="59"/>
      <c r="D318" s="59"/>
      <c r="E318" s="59"/>
      <c r="F318" s="139" t="s">
        <v>160</v>
      </c>
      <c r="G318" s="105">
        <v>622964</v>
      </c>
      <c r="H318" s="63">
        <v>751313</v>
      </c>
      <c r="I318" s="63">
        <v>848324</v>
      </c>
      <c r="J318" s="63">
        <v>811175.35</v>
      </c>
      <c r="K318" s="57">
        <v>891382.99</v>
      </c>
      <c r="L318" s="57">
        <v>935790</v>
      </c>
      <c r="M318" s="57">
        <v>949792</v>
      </c>
      <c r="N318" s="57">
        <v>942105</v>
      </c>
    </row>
    <row r="319" spans="2:14" x14ac:dyDescent="0.2">
      <c r="B319" s="60"/>
      <c r="C319" s="59"/>
      <c r="D319" s="59"/>
      <c r="E319" s="59"/>
      <c r="F319" s="139" t="s">
        <v>179</v>
      </c>
      <c r="G319" s="105">
        <v>12393</v>
      </c>
      <c r="H319" s="57">
        <v>3390</v>
      </c>
      <c r="I319" s="57">
        <v>0</v>
      </c>
      <c r="J319" s="57">
        <v>657.41</v>
      </c>
      <c r="K319" s="57">
        <v>0</v>
      </c>
      <c r="L319" s="57">
        <v>1000</v>
      </c>
      <c r="M319" s="57">
        <v>0</v>
      </c>
      <c r="N319" s="57">
        <v>0</v>
      </c>
    </row>
    <row r="320" spans="2:14" x14ac:dyDescent="0.2">
      <c r="B320" s="60"/>
      <c r="C320" s="59"/>
      <c r="D320" s="59"/>
      <c r="E320" s="59"/>
      <c r="F320" s="139" t="s">
        <v>184</v>
      </c>
      <c r="G320" s="105">
        <v>0</v>
      </c>
      <c r="H320" s="57">
        <v>0</v>
      </c>
      <c r="I320" s="57">
        <v>0</v>
      </c>
      <c r="J320" s="57">
        <v>0</v>
      </c>
      <c r="K320" s="57">
        <v>0</v>
      </c>
      <c r="L320" s="57">
        <v>0</v>
      </c>
      <c r="M320" s="57">
        <v>0</v>
      </c>
      <c r="N320" s="57">
        <v>0</v>
      </c>
    </row>
    <row r="321" spans="2:14" x14ac:dyDescent="0.2">
      <c r="B321" s="60"/>
      <c r="C321" s="59"/>
      <c r="D321" s="59"/>
      <c r="E321" s="59"/>
      <c r="F321" s="139" t="s">
        <v>172</v>
      </c>
      <c r="G321" s="105">
        <v>8857</v>
      </c>
      <c r="H321" s="57">
        <v>178</v>
      </c>
      <c r="I321" s="57">
        <v>714</v>
      </c>
      <c r="J321" s="57">
        <v>45.65</v>
      </c>
      <c r="K321" s="57">
        <v>26.02</v>
      </c>
      <c r="L321" s="57">
        <v>1000</v>
      </c>
      <c r="M321" s="57">
        <v>0</v>
      </c>
      <c r="N321" s="57">
        <v>1000</v>
      </c>
    </row>
    <row r="322" spans="2:14" x14ac:dyDescent="0.2">
      <c r="B322" s="60"/>
      <c r="C322" s="59"/>
      <c r="D322" s="59"/>
      <c r="E322" s="261" t="s">
        <v>162</v>
      </c>
      <c r="F322" s="261"/>
      <c r="G322" s="73">
        <f>G323</f>
        <v>0</v>
      </c>
      <c r="H322" s="73">
        <f t="shared" ref="H322:N322" si="107">H323</f>
        <v>43881</v>
      </c>
      <c r="I322" s="73">
        <f t="shared" si="107"/>
        <v>29247</v>
      </c>
      <c r="J322" s="73">
        <f t="shared" si="107"/>
        <v>0</v>
      </c>
      <c r="K322" s="73">
        <f t="shared" si="107"/>
        <v>0</v>
      </c>
      <c r="L322" s="73">
        <f t="shared" si="107"/>
        <v>0</v>
      </c>
      <c r="M322" s="73">
        <f t="shared" si="107"/>
        <v>0</v>
      </c>
      <c r="N322" s="73">
        <f t="shared" si="107"/>
        <v>0</v>
      </c>
    </row>
    <row r="323" spans="2:14" x14ac:dyDescent="0.2">
      <c r="B323" s="60"/>
      <c r="C323" s="59"/>
      <c r="D323" s="59"/>
      <c r="E323" s="59"/>
      <c r="F323" s="136" t="s">
        <v>163</v>
      </c>
      <c r="G323" s="105">
        <v>0</v>
      </c>
      <c r="H323" s="63">
        <v>43881</v>
      </c>
      <c r="I323" s="63">
        <v>29247</v>
      </c>
      <c r="J323" s="63">
        <v>0</v>
      </c>
      <c r="K323" s="63">
        <v>0</v>
      </c>
      <c r="L323" s="63">
        <v>0</v>
      </c>
      <c r="M323" s="57">
        <v>0</v>
      </c>
      <c r="N323" s="63">
        <v>0</v>
      </c>
    </row>
    <row r="324" spans="2:14" x14ac:dyDescent="0.2">
      <c r="B324" s="60"/>
      <c r="C324" s="59"/>
      <c r="D324" s="59"/>
      <c r="E324" s="262" t="s">
        <v>182</v>
      </c>
      <c r="F324" s="262"/>
      <c r="G324" s="70">
        <f>SUM(G325:G329)</f>
        <v>220834</v>
      </c>
      <c r="H324" s="70">
        <f t="shared" ref="H324:K324" si="108">SUM(H325:H329)</f>
        <v>198962</v>
      </c>
      <c r="I324" s="70">
        <f t="shared" si="108"/>
        <v>266808</v>
      </c>
      <c r="J324" s="70">
        <f t="shared" si="108"/>
        <v>229992.61</v>
      </c>
      <c r="K324" s="70">
        <f t="shared" si="108"/>
        <v>250704.82</v>
      </c>
      <c r="L324" s="70">
        <f>SUM(L325:L329)</f>
        <v>277647</v>
      </c>
      <c r="M324" s="70">
        <f t="shared" ref="M324" si="109">SUM(M325:M329)</f>
        <v>249912</v>
      </c>
      <c r="N324" s="70">
        <f t="shared" ref="N324" si="110">SUM(N325:N329)</f>
        <v>266947</v>
      </c>
    </row>
    <row r="325" spans="2:14" x14ac:dyDescent="0.2">
      <c r="B325" s="60"/>
      <c r="C325" s="59"/>
      <c r="D325" s="59"/>
      <c r="E325" s="59"/>
      <c r="F325" s="139" t="s">
        <v>165</v>
      </c>
      <c r="G325" s="105">
        <v>25451</v>
      </c>
      <c r="H325" s="63">
        <v>27969</v>
      </c>
      <c r="I325" s="63">
        <v>30857</v>
      </c>
      <c r="J325" s="63">
        <f>24026.34+8020.86</f>
        <v>32047.200000000001</v>
      </c>
      <c r="K325" s="63">
        <v>26444.86</v>
      </c>
      <c r="L325" s="63">
        <v>35057</v>
      </c>
      <c r="M325" s="57">
        <v>30799</v>
      </c>
      <c r="N325" s="63">
        <v>42207</v>
      </c>
    </row>
    <row r="326" spans="2:14" x14ac:dyDescent="0.2">
      <c r="B326" s="60"/>
      <c r="C326" s="59"/>
      <c r="D326" s="59"/>
      <c r="E326" s="59"/>
      <c r="F326" s="139" t="s">
        <v>166</v>
      </c>
      <c r="G326" s="105">
        <v>99980</v>
      </c>
      <c r="H326" s="57">
        <v>-32587</v>
      </c>
      <c r="I326" s="57">
        <v>16385</v>
      </c>
      <c r="J326" s="57">
        <f>24.99+3468+5100-6222.58</f>
        <v>2370.41</v>
      </c>
      <c r="K326" s="57">
        <v>7886.8700000000008</v>
      </c>
      <c r="L326" s="57">
        <v>33050</v>
      </c>
      <c r="M326" s="57">
        <v>14113</v>
      </c>
      <c r="N326" s="57">
        <v>15200</v>
      </c>
    </row>
    <row r="327" spans="2:14" x14ac:dyDescent="0.2">
      <c r="B327" s="60"/>
      <c r="C327" s="59"/>
      <c r="D327" s="59"/>
      <c r="E327" s="59"/>
      <c r="F327" s="139" t="s">
        <v>167</v>
      </c>
      <c r="G327" s="105">
        <v>93375</v>
      </c>
      <c r="H327" s="57">
        <v>195800</v>
      </c>
      <c r="I327" s="57">
        <v>217530</v>
      </c>
      <c r="J327" s="57">
        <f>189751.5</f>
        <v>189751.5</v>
      </c>
      <c r="K327" s="57">
        <v>213797.09</v>
      </c>
      <c r="L327" s="57">
        <v>203000</v>
      </c>
      <c r="M327" s="57">
        <v>203000</v>
      </c>
      <c r="N327" s="57">
        <v>203000</v>
      </c>
    </row>
    <row r="328" spans="2:14" x14ac:dyDescent="0.2">
      <c r="B328" s="60"/>
      <c r="C328" s="59"/>
      <c r="D328" s="59"/>
      <c r="E328" s="59"/>
      <c r="F328" s="139" t="s">
        <v>168</v>
      </c>
      <c r="G328" s="105">
        <v>6</v>
      </c>
      <c r="H328" s="57">
        <v>0</v>
      </c>
      <c r="I328" s="57">
        <v>40</v>
      </c>
      <c r="J328" s="57">
        <f>85+10</f>
        <v>95</v>
      </c>
      <c r="K328" s="57">
        <v>695</v>
      </c>
      <c r="L328" s="57">
        <v>540</v>
      </c>
      <c r="M328" s="57">
        <v>0</v>
      </c>
      <c r="N328" s="57">
        <v>540</v>
      </c>
    </row>
    <row r="329" spans="2:14" x14ac:dyDescent="0.2">
      <c r="B329" s="60"/>
      <c r="C329" s="59"/>
      <c r="D329" s="59"/>
      <c r="E329" s="59"/>
      <c r="F329" s="139" t="s">
        <v>189</v>
      </c>
      <c r="G329" s="105">
        <v>2022</v>
      </c>
      <c r="H329" s="57">
        <v>7780</v>
      </c>
      <c r="I329" s="57">
        <v>1996</v>
      </c>
      <c r="J329" s="57">
        <f>5728.5</f>
        <v>5728.5</v>
      </c>
      <c r="K329" s="57">
        <v>1881</v>
      </c>
      <c r="L329" s="57">
        <v>6000</v>
      </c>
      <c r="M329" s="57">
        <v>2000</v>
      </c>
      <c r="N329" s="57">
        <v>6000</v>
      </c>
    </row>
    <row r="330" spans="2:14" x14ac:dyDescent="0.2">
      <c r="B330" s="60"/>
      <c r="C330" s="59"/>
      <c r="D330" s="261" t="s">
        <v>356</v>
      </c>
      <c r="E330" s="261"/>
      <c r="F330" s="261"/>
      <c r="G330" s="70">
        <f>G331+G335</f>
        <v>868390</v>
      </c>
      <c r="H330" s="70">
        <f t="shared" ref="H330:J330" si="111">H331+H335</f>
        <v>716502</v>
      </c>
      <c r="I330" s="70">
        <f t="shared" si="111"/>
        <v>637232</v>
      </c>
      <c r="J330" s="70">
        <f t="shared" si="111"/>
        <v>587184.09</v>
      </c>
      <c r="K330" s="70">
        <f t="shared" ref="K330" si="112">K331+K335</f>
        <v>665289</v>
      </c>
      <c r="L330" s="70">
        <f t="shared" ref="L330" si="113">L331+L335</f>
        <v>839524</v>
      </c>
      <c r="M330" s="70">
        <f t="shared" ref="M330" si="114">M331+M335</f>
        <v>754724</v>
      </c>
      <c r="N330" s="70">
        <f t="shared" ref="N330" si="115">N331+N335</f>
        <v>819713</v>
      </c>
    </row>
    <row r="331" spans="2:14" x14ac:dyDescent="0.2">
      <c r="B331" s="60"/>
      <c r="C331" s="59"/>
      <c r="D331" s="59"/>
      <c r="E331" s="263" t="s">
        <v>159</v>
      </c>
      <c r="F331" s="263"/>
      <c r="G331" s="66">
        <f>SUM(G332:G334)</f>
        <v>664679</v>
      </c>
      <c r="H331" s="66">
        <f t="shared" ref="H331:N331" si="116">SUM(H332:H334)</f>
        <v>699675</v>
      </c>
      <c r="I331" s="66">
        <f t="shared" si="116"/>
        <v>625237</v>
      </c>
      <c r="J331" s="66">
        <f t="shared" si="116"/>
        <v>578798.98</v>
      </c>
      <c r="K331" s="66">
        <f t="shared" si="116"/>
        <v>655941</v>
      </c>
      <c r="L331" s="66">
        <f t="shared" si="116"/>
        <v>824044</v>
      </c>
      <c r="M331" s="66">
        <f t="shared" si="116"/>
        <v>747110</v>
      </c>
      <c r="N331" s="66">
        <f t="shared" si="116"/>
        <v>806933</v>
      </c>
    </row>
    <row r="332" spans="2:14" x14ac:dyDescent="0.2">
      <c r="B332" s="60"/>
      <c r="C332" s="59"/>
      <c r="D332" s="59"/>
      <c r="E332" s="59"/>
      <c r="F332" s="139" t="s">
        <v>160</v>
      </c>
      <c r="G332" s="105">
        <v>664440</v>
      </c>
      <c r="H332" s="57">
        <v>698255</v>
      </c>
      <c r="I332" s="57">
        <v>625237</v>
      </c>
      <c r="J332" s="57">
        <v>578798.98</v>
      </c>
      <c r="K332" s="57">
        <v>655941</v>
      </c>
      <c r="L332" s="57">
        <v>823044</v>
      </c>
      <c r="M332" s="57">
        <v>728078</v>
      </c>
      <c r="N332" s="57">
        <v>796958</v>
      </c>
    </row>
    <row r="333" spans="2:14" x14ac:dyDescent="0.2">
      <c r="B333" s="60"/>
      <c r="C333" s="59"/>
      <c r="D333" s="59"/>
      <c r="E333" s="59"/>
      <c r="F333" s="139" t="s">
        <v>179</v>
      </c>
      <c r="G333" s="105">
        <v>239</v>
      </c>
      <c r="H333" s="57">
        <v>1420</v>
      </c>
      <c r="I333" s="57">
        <v>0</v>
      </c>
      <c r="J333" s="57">
        <v>0</v>
      </c>
      <c r="K333" s="57">
        <v>0</v>
      </c>
      <c r="L333" s="57">
        <v>1000</v>
      </c>
      <c r="M333" s="57">
        <v>0</v>
      </c>
      <c r="N333" s="57">
        <v>500</v>
      </c>
    </row>
    <row r="334" spans="2:14" x14ac:dyDescent="0.2">
      <c r="B334" s="60"/>
      <c r="C334" s="59"/>
      <c r="D334" s="59"/>
      <c r="E334" s="59"/>
      <c r="F334" s="139" t="s">
        <v>172</v>
      </c>
      <c r="G334" s="105">
        <v>0</v>
      </c>
      <c r="H334" s="57">
        <v>0</v>
      </c>
      <c r="I334" s="57">
        <v>0</v>
      </c>
      <c r="J334" s="57">
        <v>0</v>
      </c>
      <c r="K334" s="57">
        <v>0</v>
      </c>
      <c r="L334" s="57">
        <v>0</v>
      </c>
      <c r="M334" s="57">
        <v>19032</v>
      </c>
      <c r="N334" s="57">
        <v>9475</v>
      </c>
    </row>
    <row r="335" spans="2:14" x14ac:dyDescent="0.2">
      <c r="B335" s="60"/>
      <c r="C335" s="59"/>
      <c r="D335" s="59"/>
      <c r="E335" s="261" t="s">
        <v>170</v>
      </c>
      <c r="F335" s="261"/>
      <c r="G335" s="67">
        <f>SUM(G336:G339)</f>
        <v>203711</v>
      </c>
      <c r="H335" s="67">
        <f t="shared" ref="H335:N335" si="117">SUM(H336:H339)</f>
        <v>16827</v>
      </c>
      <c r="I335" s="67">
        <f t="shared" si="117"/>
        <v>11995</v>
      </c>
      <c r="J335" s="67">
        <f t="shared" si="117"/>
        <v>8385.11</v>
      </c>
      <c r="K335" s="67">
        <f t="shared" si="117"/>
        <v>9348</v>
      </c>
      <c r="L335" s="67">
        <f t="shared" si="117"/>
        <v>15480</v>
      </c>
      <c r="M335" s="67">
        <f t="shared" si="117"/>
        <v>7614</v>
      </c>
      <c r="N335" s="67">
        <f t="shared" si="117"/>
        <v>12780</v>
      </c>
    </row>
    <row r="336" spans="2:14" x14ac:dyDescent="0.2">
      <c r="B336" s="60"/>
      <c r="C336" s="59"/>
      <c r="D336" s="59"/>
      <c r="E336" s="59"/>
      <c r="F336" s="139" t="s">
        <v>165</v>
      </c>
      <c r="G336" s="105">
        <v>4296</v>
      </c>
      <c r="H336" s="57">
        <v>6434</v>
      </c>
      <c r="I336" s="57">
        <v>5418</v>
      </c>
      <c r="J336" s="57">
        <f>5497.17+122.89</f>
        <v>5620.06</v>
      </c>
      <c r="K336" s="57">
        <v>6478</v>
      </c>
      <c r="L336" s="57">
        <v>9510</v>
      </c>
      <c r="M336" s="57">
        <v>6394</v>
      </c>
      <c r="N336" s="57">
        <v>9510</v>
      </c>
    </row>
    <row r="337" spans="2:14" x14ac:dyDescent="0.2">
      <c r="B337" s="60"/>
      <c r="C337" s="59"/>
      <c r="D337" s="59"/>
      <c r="E337" s="59"/>
      <c r="F337" s="139" t="s">
        <v>166</v>
      </c>
      <c r="G337" s="105">
        <v>12</v>
      </c>
      <c r="H337" s="57">
        <v>525</v>
      </c>
      <c r="I337" s="57">
        <v>355</v>
      </c>
      <c r="J337" s="57">
        <v>265</v>
      </c>
      <c r="K337" s="57">
        <v>300</v>
      </c>
      <c r="L337" s="57">
        <v>400</v>
      </c>
      <c r="M337" s="57">
        <v>350</v>
      </c>
      <c r="N337" s="57">
        <v>400</v>
      </c>
    </row>
    <row r="338" spans="2:14" x14ac:dyDescent="0.2">
      <c r="B338" s="60"/>
      <c r="C338" s="59"/>
      <c r="D338" s="59"/>
      <c r="E338" s="59"/>
      <c r="F338" s="139" t="s">
        <v>167</v>
      </c>
      <c r="G338" s="105">
        <v>194506</v>
      </c>
      <c r="H338" s="57">
        <v>0</v>
      </c>
      <c r="I338" s="57">
        <v>0</v>
      </c>
      <c r="J338" s="57">
        <v>0</v>
      </c>
      <c r="K338" s="57">
        <v>0</v>
      </c>
      <c r="L338" s="57">
        <v>0</v>
      </c>
      <c r="M338" s="57">
        <v>0</v>
      </c>
      <c r="N338" s="57">
        <v>0</v>
      </c>
    </row>
    <row r="339" spans="2:14" x14ac:dyDescent="0.2">
      <c r="B339" s="60"/>
      <c r="C339" s="59"/>
      <c r="D339" s="59"/>
      <c r="E339" s="59"/>
      <c r="F339" s="139" t="s">
        <v>168</v>
      </c>
      <c r="G339" s="105">
        <v>4897</v>
      </c>
      <c r="H339" s="57">
        <v>9868</v>
      </c>
      <c r="I339" s="57">
        <v>6222</v>
      </c>
      <c r="J339" s="57">
        <f>945.05+1555</f>
        <v>2500.0500000000002</v>
      </c>
      <c r="K339" s="57">
        <v>2570</v>
      </c>
      <c r="L339" s="57">
        <v>5570</v>
      </c>
      <c r="M339" s="57">
        <v>870</v>
      </c>
      <c r="N339" s="57">
        <v>2870</v>
      </c>
    </row>
    <row r="340" spans="2:14" x14ac:dyDescent="0.2">
      <c r="B340" s="60"/>
      <c r="C340" s="59"/>
      <c r="D340" s="268" t="s">
        <v>357</v>
      </c>
      <c r="E340" s="269"/>
      <c r="F340" s="269"/>
      <c r="G340" s="70">
        <f>G341+G344+G346</f>
        <v>46958</v>
      </c>
      <c r="H340" s="70">
        <f t="shared" ref="H340:N340" si="118">H341+H344+H346</f>
        <v>97634</v>
      </c>
      <c r="I340" s="70">
        <f t="shared" si="118"/>
        <v>253459</v>
      </c>
      <c r="J340" s="70">
        <f t="shared" si="118"/>
        <v>509449.47</v>
      </c>
      <c r="K340" s="70">
        <f t="shared" si="118"/>
        <v>643837.13</v>
      </c>
      <c r="L340" s="70">
        <f t="shared" si="118"/>
        <v>991795</v>
      </c>
      <c r="M340" s="70">
        <f t="shared" si="118"/>
        <v>842099</v>
      </c>
      <c r="N340" s="70">
        <f t="shared" si="118"/>
        <v>968380</v>
      </c>
    </row>
    <row r="341" spans="2:14" x14ac:dyDescent="0.2">
      <c r="B341" s="60"/>
      <c r="C341" s="59"/>
      <c r="D341" s="59"/>
      <c r="E341" s="263" t="s">
        <v>159</v>
      </c>
      <c r="F341" s="263"/>
      <c r="G341" s="66">
        <f>SUM(G342:G343)</f>
        <v>17486</v>
      </c>
      <c r="H341" s="66">
        <f t="shared" ref="H341:N341" si="119">SUM(H342:H343)</f>
        <v>63593</v>
      </c>
      <c r="I341" s="66">
        <f t="shared" si="119"/>
        <v>203576</v>
      </c>
      <c r="J341" s="66">
        <f t="shared" si="119"/>
        <v>454883.68</v>
      </c>
      <c r="K341" s="66">
        <f t="shared" si="119"/>
        <v>572305</v>
      </c>
      <c r="L341" s="66">
        <f t="shared" si="119"/>
        <v>914492</v>
      </c>
      <c r="M341" s="66">
        <f t="shared" si="119"/>
        <v>777626</v>
      </c>
      <c r="N341" s="66">
        <f t="shared" si="119"/>
        <v>896225</v>
      </c>
    </row>
    <row r="342" spans="2:14" x14ac:dyDescent="0.2">
      <c r="B342" s="60"/>
      <c r="C342" s="59"/>
      <c r="D342" s="59"/>
      <c r="E342" s="59"/>
      <c r="F342" s="139" t="s">
        <v>160</v>
      </c>
      <c r="G342" s="105">
        <v>0</v>
      </c>
      <c r="H342" s="57">
        <v>7424</v>
      </c>
      <c r="I342" s="57">
        <v>142423</v>
      </c>
      <c r="J342" s="57">
        <f>354181.93</f>
        <v>354181.93</v>
      </c>
      <c r="K342" s="57">
        <v>461530</v>
      </c>
      <c r="L342" s="57">
        <v>614492</v>
      </c>
      <c r="M342" s="57">
        <v>487626</v>
      </c>
      <c r="N342" s="57">
        <v>596225</v>
      </c>
    </row>
    <row r="343" spans="2:14" x14ac:dyDescent="0.2">
      <c r="B343" s="60"/>
      <c r="C343" s="59"/>
      <c r="D343" s="59"/>
      <c r="E343" s="59"/>
      <c r="F343" s="139" t="s">
        <v>161</v>
      </c>
      <c r="G343" s="105">
        <v>17486</v>
      </c>
      <c r="H343" s="57">
        <v>56169</v>
      </c>
      <c r="I343" s="57">
        <v>61153</v>
      </c>
      <c r="J343" s="57">
        <f>100701.75</f>
        <v>100701.75</v>
      </c>
      <c r="K343" s="57">
        <v>110775</v>
      </c>
      <c r="L343" s="57">
        <v>300000</v>
      </c>
      <c r="M343" s="57">
        <v>290000</v>
      </c>
      <c r="N343" s="57">
        <v>300000</v>
      </c>
    </row>
    <row r="344" spans="2:14" x14ac:dyDescent="0.2">
      <c r="B344" s="60"/>
      <c r="C344" s="59"/>
      <c r="D344" s="59"/>
      <c r="E344" s="261" t="s">
        <v>181</v>
      </c>
      <c r="F344" s="261"/>
      <c r="G344" s="71">
        <f>G345</f>
        <v>0</v>
      </c>
      <c r="H344" s="71">
        <f t="shared" ref="H344:N344" si="120">H345</f>
        <v>0</v>
      </c>
      <c r="I344" s="71">
        <f t="shared" si="120"/>
        <v>3288</v>
      </c>
      <c r="J344" s="71">
        <f t="shared" si="120"/>
        <v>0</v>
      </c>
      <c r="K344" s="71">
        <f t="shared" si="120"/>
        <v>0</v>
      </c>
      <c r="L344" s="71">
        <f t="shared" si="120"/>
        <v>0</v>
      </c>
      <c r="M344" s="71">
        <f t="shared" si="120"/>
        <v>0</v>
      </c>
      <c r="N344" s="71">
        <f t="shared" si="120"/>
        <v>0</v>
      </c>
    </row>
    <row r="345" spans="2:14" x14ac:dyDescent="0.2">
      <c r="B345" s="60"/>
      <c r="C345" s="59"/>
      <c r="D345" s="59"/>
      <c r="E345" s="59"/>
      <c r="F345" s="136" t="s">
        <v>163</v>
      </c>
      <c r="G345" s="105">
        <v>0</v>
      </c>
      <c r="H345" s="63">
        <v>0</v>
      </c>
      <c r="I345" s="63">
        <v>3288</v>
      </c>
      <c r="J345" s="63">
        <v>0</v>
      </c>
      <c r="K345" s="63">
        <v>0</v>
      </c>
      <c r="L345" s="63">
        <v>0</v>
      </c>
      <c r="M345" s="57">
        <v>0</v>
      </c>
      <c r="N345" s="63">
        <v>0</v>
      </c>
    </row>
    <row r="346" spans="2:14" x14ac:dyDescent="0.2">
      <c r="B346" s="60"/>
      <c r="C346" s="59"/>
      <c r="D346" s="59"/>
      <c r="E346" s="262" t="s">
        <v>182</v>
      </c>
      <c r="F346" s="262"/>
      <c r="G346" s="58">
        <f>SUM(G347:G350)</f>
        <v>29472</v>
      </c>
      <c r="H346" s="58">
        <f t="shared" ref="H346:N346" si="121">SUM(H347:H350)</f>
        <v>34041</v>
      </c>
      <c r="I346" s="58">
        <f t="shared" si="121"/>
        <v>46595</v>
      </c>
      <c r="J346" s="58">
        <f t="shared" si="121"/>
        <v>54565.79</v>
      </c>
      <c r="K346" s="58">
        <f t="shared" si="121"/>
        <v>71532.13</v>
      </c>
      <c r="L346" s="58">
        <f t="shared" si="121"/>
        <v>77303</v>
      </c>
      <c r="M346" s="58">
        <f t="shared" si="121"/>
        <v>64473</v>
      </c>
      <c r="N346" s="58">
        <f t="shared" si="121"/>
        <v>72155</v>
      </c>
    </row>
    <row r="347" spans="2:14" x14ac:dyDescent="0.2">
      <c r="B347" s="60"/>
      <c r="C347" s="59"/>
      <c r="D347" s="59"/>
      <c r="E347" s="59"/>
      <c r="F347" s="139" t="s">
        <v>165</v>
      </c>
      <c r="G347" s="105">
        <v>747</v>
      </c>
      <c r="H347" s="63">
        <v>1342</v>
      </c>
      <c r="I347" s="63">
        <v>9729</v>
      </c>
      <c r="J347" s="63">
        <f>2058.57+2323.01</f>
        <v>4381.58</v>
      </c>
      <c r="K347" s="63">
        <v>6028.13</v>
      </c>
      <c r="L347" s="63">
        <v>12500</v>
      </c>
      <c r="M347" s="57">
        <v>8000</v>
      </c>
      <c r="N347" s="63">
        <v>9500</v>
      </c>
    </row>
    <row r="348" spans="2:14" x14ac:dyDescent="0.2">
      <c r="B348" s="60"/>
      <c r="C348" s="59"/>
      <c r="D348" s="59"/>
      <c r="E348" s="59"/>
      <c r="F348" s="139" t="s">
        <v>167</v>
      </c>
      <c r="G348" s="105">
        <v>28725</v>
      </c>
      <c r="H348" s="57">
        <v>32699</v>
      </c>
      <c r="I348" s="57">
        <v>0</v>
      </c>
      <c r="J348" s="57">
        <v>0</v>
      </c>
      <c r="K348" s="57">
        <v>0</v>
      </c>
      <c r="L348" s="57">
        <v>250</v>
      </c>
      <c r="M348" s="57">
        <v>0</v>
      </c>
      <c r="N348" s="57">
        <v>250</v>
      </c>
    </row>
    <row r="349" spans="2:14" x14ac:dyDescent="0.2">
      <c r="B349" s="60"/>
      <c r="C349" s="59"/>
      <c r="D349" s="59"/>
      <c r="E349" s="59"/>
      <c r="F349" s="139" t="s">
        <v>168</v>
      </c>
      <c r="G349" s="105">
        <v>0</v>
      </c>
      <c r="H349" s="57">
        <v>0</v>
      </c>
      <c r="I349" s="57">
        <v>0</v>
      </c>
      <c r="J349" s="57">
        <v>0</v>
      </c>
      <c r="K349" s="57">
        <v>0</v>
      </c>
      <c r="L349" s="57">
        <v>10000</v>
      </c>
      <c r="M349" s="57">
        <v>0</v>
      </c>
      <c r="N349" s="57">
        <v>5000</v>
      </c>
    </row>
    <row r="350" spans="2:14" x14ac:dyDescent="0.2">
      <c r="B350" s="60"/>
      <c r="C350" s="59"/>
      <c r="D350" s="59"/>
      <c r="E350" s="59"/>
      <c r="F350" s="139" t="s">
        <v>175</v>
      </c>
      <c r="G350" s="105">
        <v>0</v>
      </c>
      <c r="H350" s="57">
        <v>0</v>
      </c>
      <c r="I350" s="57">
        <v>36866</v>
      </c>
      <c r="J350" s="57">
        <v>50184.21</v>
      </c>
      <c r="K350" s="57">
        <v>65504</v>
      </c>
      <c r="L350" s="57">
        <v>54553</v>
      </c>
      <c r="M350" s="57">
        <v>56473</v>
      </c>
      <c r="N350" s="57">
        <v>57405</v>
      </c>
    </row>
    <row r="351" spans="2:14" x14ac:dyDescent="0.2">
      <c r="B351" s="60"/>
      <c r="C351" s="59"/>
      <c r="D351" s="261" t="s">
        <v>358</v>
      </c>
      <c r="E351" s="273"/>
      <c r="F351" s="273"/>
      <c r="G351" s="70">
        <f>G352+G356</f>
        <v>204930</v>
      </c>
      <c r="H351" s="70">
        <f t="shared" ref="H351:N351" si="122">H352+H356</f>
        <v>778647</v>
      </c>
      <c r="I351" s="70">
        <f t="shared" si="122"/>
        <v>1007842</v>
      </c>
      <c r="J351" s="70">
        <f t="shared" si="122"/>
        <v>1397861.9800000002</v>
      </c>
      <c r="K351" s="70">
        <f t="shared" si="122"/>
        <v>1538325.73</v>
      </c>
      <c r="L351" s="70">
        <f t="shared" si="122"/>
        <v>1526140</v>
      </c>
      <c r="M351" s="70">
        <f t="shared" si="122"/>
        <v>1628787</v>
      </c>
      <c r="N351" s="70">
        <f t="shared" si="122"/>
        <v>1491770</v>
      </c>
    </row>
    <row r="352" spans="2:14" x14ac:dyDescent="0.2">
      <c r="B352" s="60"/>
      <c r="C352" s="59"/>
      <c r="D352" s="59"/>
      <c r="E352" s="263" t="s">
        <v>159</v>
      </c>
      <c r="F352" s="263"/>
      <c r="G352" s="66">
        <f>SUM(G353:G355)</f>
        <v>204930</v>
      </c>
      <c r="H352" s="66">
        <f t="shared" ref="H352:K352" si="123">SUM(H353:H355)</f>
        <v>569901</v>
      </c>
      <c r="I352" s="66">
        <f t="shared" si="123"/>
        <v>863511</v>
      </c>
      <c r="J352" s="66">
        <f t="shared" si="123"/>
        <v>1254064.6700000002</v>
      </c>
      <c r="K352" s="66">
        <f t="shared" si="123"/>
        <v>1357635.5899999999</v>
      </c>
      <c r="L352" s="66">
        <v>1392540</v>
      </c>
      <c r="M352" s="61">
        <v>1490594</v>
      </c>
      <c r="N352" s="66">
        <v>1349670</v>
      </c>
    </row>
    <row r="353" spans="2:14" x14ac:dyDescent="0.2">
      <c r="B353" s="60"/>
      <c r="C353" s="59"/>
      <c r="D353" s="59"/>
      <c r="E353" s="59"/>
      <c r="F353" s="139" t="s">
        <v>160</v>
      </c>
      <c r="G353" s="105">
        <v>204930</v>
      </c>
      <c r="H353" s="57">
        <v>550208</v>
      </c>
      <c r="I353" s="57">
        <v>856678</v>
      </c>
      <c r="J353" s="57">
        <v>1248587.8600000001</v>
      </c>
      <c r="K353" s="57">
        <v>1342906</v>
      </c>
      <c r="L353" s="57">
        <v>1391540</v>
      </c>
      <c r="M353" s="57">
        <v>1481679</v>
      </c>
      <c r="N353" s="57">
        <v>1338559</v>
      </c>
    </row>
    <row r="354" spans="2:14" x14ac:dyDescent="0.2">
      <c r="B354" s="60"/>
      <c r="C354" s="59"/>
      <c r="D354" s="59"/>
      <c r="E354" s="59"/>
      <c r="F354" s="139" t="s">
        <v>179</v>
      </c>
      <c r="G354" s="105">
        <v>0</v>
      </c>
      <c r="H354" s="57">
        <v>5681</v>
      </c>
      <c r="I354" s="57">
        <v>1733</v>
      </c>
      <c r="J354" s="57">
        <v>149.79</v>
      </c>
      <c r="K354" s="57">
        <v>829.14</v>
      </c>
      <c r="L354" s="57">
        <v>1000</v>
      </c>
      <c r="M354" s="57">
        <v>840</v>
      </c>
      <c r="N354" s="57">
        <v>1000</v>
      </c>
    </row>
    <row r="355" spans="2:14" x14ac:dyDescent="0.2">
      <c r="B355" s="60"/>
      <c r="C355" s="59"/>
      <c r="D355" s="59"/>
      <c r="E355" s="59"/>
      <c r="F355" s="139" t="s">
        <v>172</v>
      </c>
      <c r="G355" s="105">
        <v>0</v>
      </c>
      <c r="H355" s="57">
        <v>14012</v>
      </c>
      <c r="I355" s="57">
        <v>5100</v>
      </c>
      <c r="J355" s="57">
        <v>5327.02</v>
      </c>
      <c r="K355" s="57">
        <v>13900.45</v>
      </c>
      <c r="L355" s="57">
        <v>0</v>
      </c>
      <c r="M355" s="57">
        <v>8075</v>
      </c>
      <c r="N355" s="57">
        <v>10111</v>
      </c>
    </row>
    <row r="356" spans="2:14" x14ac:dyDescent="0.2">
      <c r="B356" s="60"/>
      <c r="C356" s="59"/>
      <c r="D356" s="59"/>
      <c r="E356" s="261" t="s">
        <v>170</v>
      </c>
      <c r="F356" s="261"/>
      <c r="G356" s="67">
        <f>SUM(G357:G360)</f>
        <v>0</v>
      </c>
      <c r="H356" s="67">
        <f t="shared" ref="H356:N356" si="124">SUM(H357:H360)</f>
        <v>208746</v>
      </c>
      <c r="I356" s="67">
        <f t="shared" si="124"/>
        <v>144331</v>
      </c>
      <c r="J356" s="67">
        <f t="shared" si="124"/>
        <v>143797.31</v>
      </c>
      <c r="K356" s="67">
        <f t="shared" si="124"/>
        <v>180690.14</v>
      </c>
      <c r="L356" s="67">
        <f t="shared" si="124"/>
        <v>133600</v>
      </c>
      <c r="M356" s="67">
        <f t="shared" si="124"/>
        <v>138193</v>
      </c>
      <c r="N356" s="67">
        <f t="shared" si="124"/>
        <v>142100</v>
      </c>
    </row>
    <row r="357" spans="2:14" x14ac:dyDescent="0.2">
      <c r="B357" s="60"/>
      <c r="C357" s="59"/>
      <c r="D357" s="59"/>
      <c r="E357" s="59"/>
      <c r="F357" s="139" t="s">
        <v>165</v>
      </c>
      <c r="G357" s="105">
        <v>0</v>
      </c>
      <c r="H357" s="57">
        <v>0</v>
      </c>
      <c r="I357" s="57">
        <v>921</v>
      </c>
      <c r="J357" s="57">
        <v>1000</v>
      </c>
      <c r="K357" s="57">
        <v>1084.29</v>
      </c>
      <c r="L357" s="57">
        <v>0</v>
      </c>
      <c r="M357" s="57">
        <v>0</v>
      </c>
      <c r="N357" s="57">
        <v>0</v>
      </c>
    </row>
    <row r="358" spans="2:14" x14ac:dyDescent="0.2">
      <c r="B358" s="60"/>
      <c r="C358" s="59"/>
      <c r="D358" s="59"/>
      <c r="E358" s="59"/>
      <c r="F358" s="139" t="s">
        <v>167</v>
      </c>
      <c r="G358" s="105">
        <v>0</v>
      </c>
      <c r="H358" s="57">
        <v>207057</v>
      </c>
      <c r="I358" s="57">
        <v>0</v>
      </c>
      <c r="J358" s="57">
        <v>0</v>
      </c>
      <c r="K358" s="57">
        <v>0</v>
      </c>
      <c r="L358" s="57">
        <v>0</v>
      </c>
      <c r="M358" s="57">
        <v>0</v>
      </c>
      <c r="N358" s="57">
        <v>0</v>
      </c>
    </row>
    <row r="359" spans="2:14" x14ac:dyDescent="0.2">
      <c r="B359" s="60"/>
      <c r="C359" s="59"/>
      <c r="D359" s="59"/>
      <c r="E359" s="59"/>
      <c r="F359" s="139" t="s">
        <v>168</v>
      </c>
      <c r="G359" s="105">
        <v>0</v>
      </c>
      <c r="H359" s="57">
        <v>1689</v>
      </c>
      <c r="I359" s="57">
        <v>496</v>
      </c>
      <c r="J359" s="57">
        <v>0</v>
      </c>
      <c r="K359" s="57">
        <v>332.85</v>
      </c>
      <c r="L359" s="57">
        <v>600</v>
      </c>
      <c r="M359" s="57">
        <v>129</v>
      </c>
      <c r="N359" s="57">
        <v>600</v>
      </c>
    </row>
    <row r="360" spans="2:14" x14ac:dyDescent="0.2">
      <c r="B360" s="60"/>
      <c r="C360" s="59"/>
      <c r="D360" s="59"/>
      <c r="E360" s="59"/>
      <c r="F360" s="139" t="s">
        <v>175</v>
      </c>
      <c r="G360" s="105">
        <v>0</v>
      </c>
      <c r="H360" s="57">
        <v>0</v>
      </c>
      <c r="I360" s="57">
        <v>142914</v>
      </c>
      <c r="J360" s="57">
        <v>142797.31</v>
      </c>
      <c r="K360" s="57">
        <v>179273</v>
      </c>
      <c r="L360" s="57">
        <v>133000</v>
      </c>
      <c r="M360" s="57">
        <v>138064</v>
      </c>
      <c r="N360" s="57">
        <v>141500</v>
      </c>
    </row>
    <row r="361" spans="2:14" x14ac:dyDescent="0.2">
      <c r="B361" s="60"/>
      <c r="C361" s="270" t="s">
        <v>359</v>
      </c>
      <c r="D361" s="270"/>
      <c r="E361" s="270"/>
      <c r="F361" s="270"/>
      <c r="G361" s="64">
        <f>G362</f>
        <v>174555</v>
      </c>
      <c r="H361" s="64">
        <f t="shared" ref="H361:N361" si="125">H362</f>
        <v>310831</v>
      </c>
      <c r="I361" s="64">
        <f t="shared" si="125"/>
        <v>138912</v>
      </c>
      <c r="J361" s="64">
        <f t="shared" si="125"/>
        <v>337157.39</v>
      </c>
      <c r="K361" s="64">
        <f t="shared" si="125"/>
        <v>298131.78000000003</v>
      </c>
      <c r="L361" s="64">
        <f t="shared" si="125"/>
        <v>324445</v>
      </c>
      <c r="M361" s="64">
        <f t="shared" si="125"/>
        <v>321427</v>
      </c>
      <c r="N361" s="64">
        <f t="shared" si="125"/>
        <v>357727</v>
      </c>
    </row>
    <row r="362" spans="2:14" x14ac:dyDescent="0.2">
      <c r="B362" s="60"/>
      <c r="C362" s="59"/>
      <c r="D362" s="261" t="s">
        <v>190</v>
      </c>
      <c r="E362" s="273"/>
      <c r="F362" s="273"/>
      <c r="G362" s="70">
        <f>G363+G366</f>
        <v>174555</v>
      </c>
      <c r="H362" s="70">
        <f t="shared" ref="H362:N362" si="126">H363+H366</f>
        <v>310831</v>
      </c>
      <c r="I362" s="70">
        <f t="shared" si="126"/>
        <v>138912</v>
      </c>
      <c r="J362" s="70">
        <f t="shared" si="126"/>
        <v>337157.39</v>
      </c>
      <c r="K362" s="70">
        <f t="shared" si="126"/>
        <v>298131.78000000003</v>
      </c>
      <c r="L362" s="70">
        <f t="shared" si="126"/>
        <v>324445</v>
      </c>
      <c r="M362" s="70">
        <f t="shared" si="126"/>
        <v>321427</v>
      </c>
      <c r="N362" s="70">
        <f t="shared" si="126"/>
        <v>357727</v>
      </c>
    </row>
    <row r="363" spans="2:14" x14ac:dyDescent="0.2">
      <c r="B363" s="60"/>
      <c r="C363" s="59"/>
      <c r="D363" s="59"/>
      <c r="E363" s="263" t="s">
        <v>159</v>
      </c>
      <c r="F363" s="263"/>
      <c r="G363" s="66">
        <f>SUM(G364:G365)</f>
        <v>171810</v>
      </c>
      <c r="H363" s="66">
        <f t="shared" ref="H363:K363" si="127">SUM(H364:H365)</f>
        <v>229488</v>
      </c>
      <c r="I363" s="66">
        <f t="shared" si="127"/>
        <v>134929</v>
      </c>
      <c r="J363" s="66">
        <f t="shared" si="127"/>
        <v>186114.28</v>
      </c>
      <c r="K363" s="66">
        <f t="shared" si="127"/>
        <v>288361.60000000003</v>
      </c>
      <c r="L363" s="66">
        <f>SUM(L364:L365)</f>
        <v>299246</v>
      </c>
      <c r="M363" s="66">
        <f t="shared" ref="M363" si="128">SUM(M364:M365)</f>
        <v>304507</v>
      </c>
      <c r="N363" s="66">
        <f t="shared" ref="N363" si="129">SUM(N364:N365)</f>
        <v>308607</v>
      </c>
    </row>
    <row r="364" spans="2:14" x14ac:dyDescent="0.2">
      <c r="B364" s="60"/>
      <c r="C364" s="59"/>
      <c r="D364" s="59"/>
      <c r="E364" s="59"/>
      <c r="F364" s="139" t="s">
        <v>160</v>
      </c>
      <c r="G364" s="105">
        <v>171000</v>
      </c>
      <c r="H364" s="57">
        <v>191672</v>
      </c>
      <c r="I364" s="57">
        <v>124492</v>
      </c>
      <c r="J364" s="57">
        <v>185473.03</v>
      </c>
      <c r="K364" s="57">
        <v>278264.95</v>
      </c>
      <c r="L364" s="57">
        <v>269246</v>
      </c>
      <c r="M364" s="57">
        <v>274507</v>
      </c>
      <c r="N364" s="57">
        <v>278607</v>
      </c>
    </row>
    <row r="365" spans="2:14" x14ac:dyDescent="0.2">
      <c r="B365" s="60"/>
      <c r="C365" s="59"/>
      <c r="D365" s="59"/>
      <c r="E365" s="59"/>
      <c r="F365" s="139" t="s">
        <v>161</v>
      </c>
      <c r="G365" s="105">
        <v>810</v>
      </c>
      <c r="H365" s="57">
        <v>37816</v>
      </c>
      <c r="I365" s="57">
        <v>10437</v>
      </c>
      <c r="J365" s="57">
        <v>641.25</v>
      </c>
      <c r="K365" s="57">
        <v>10096.65</v>
      </c>
      <c r="L365" s="57">
        <v>30000</v>
      </c>
      <c r="M365" s="57">
        <v>30000</v>
      </c>
      <c r="N365" s="57">
        <v>30000</v>
      </c>
    </row>
    <row r="366" spans="2:14" x14ac:dyDescent="0.2">
      <c r="B366" s="60"/>
      <c r="C366" s="59"/>
      <c r="D366" s="59"/>
      <c r="E366" s="261" t="s">
        <v>170</v>
      </c>
      <c r="F366" s="261"/>
      <c r="G366" s="67">
        <f>SUM(G367:G370)</f>
        <v>2745</v>
      </c>
      <c r="H366" s="67">
        <f t="shared" ref="H366:K366" si="130">SUM(H367:H370)</f>
        <v>81343</v>
      </c>
      <c r="I366" s="67">
        <f t="shared" si="130"/>
        <v>3983</v>
      </c>
      <c r="J366" s="67">
        <f t="shared" si="130"/>
        <v>151043.10999999999</v>
      </c>
      <c r="K366" s="67">
        <f t="shared" si="130"/>
        <v>9770.18</v>
      </c>
      <c r="L366" s="67">
        <f>SUM(L367:L370)</f>
        <v>25199</v>
      </c>
      <c r="M366" s="67">
        <f t="shared" ref="M366" si="131">SUM(M367:M370)</f>
        <v>16920</v>
      </c>
      <c r="N366" s="67">
        <f t="shared" ref="N366" si="132">SUM(N367:N370)</f>
        <v>49120</v>
      </c>
    </row>
    <row r="367" spans="2:14" x14ac:dyDescent="0.2">
      <c r="B367" s="60"/>
      <c r="C367" s="59"/>
      <c r="D367" s="59"/>
      <c r="E367" s="59"/>
      <c r="F367" s="139" t="s">
        <v>165</v>
      </c>
      <c r="G367" s="105">
        <v>2580</v>
      </c>
      <c r="H367" s="57">
        <v>3849</v>
      </c>
      <c r="I367" s="57">
        <v>3532</v>
      </c>
      <c r="J367" s="57">
        <f>2348.19+1499.27</f>
        <v>3847.46</v>
      </c>
      <c r="K367" s="57">
        <v>3333.37</v>
      </c>
      <c r="L367" s="57">
        <v>8500</v>
      </c>
      <c r="M367" s="57">
        <v>7600</v>
      </c>
      <c r="N367" s="57">
        <v>8500</v>
      </c>
    </row>
    <row r="368" spans="2:14" x14ac:dyDescent="0.2">
      <c r="B368" s="60"/>
      <c r="C368" s="59"/>
      <c r="D368" s="59"/>
      <c r="E368" s="59"/>
      <c r="F368" s="139" t="s">
        <v>166</v>
      </c>
      <c r="G368" s="105">
        <v>0</v>
      </c>
      <c r="H368" s="57">
        <v>15</v>
      </c>
      <c r="I368" s="57">
        <v>107</v>
      </c>
      <c r="J368" s="57">
        <f>146177.36+82.5</f>
        <v>146259.85999999999</v>
      </c>
      <c r="K368" s="57">
        <v>2841.81</v>
      </c>
      <c r="L368" s="57">
        <v>5120</v>
      </c>
      <c r="M368" s="57">
        <v>2120</v>
      </c>
      <c r="N368" s="57">
        <v>4620</v>
      </c>
    </row>
    <row r="369" spans="2:14" x14ac:dyDescent="0.2">
      <c r="B369" s="60"/>
      <c r="C369" s="59"/>
      <c r="D369" s="59"/>
      <c r="E369" s="59"/>
      <c r="F369" s="139" t="s">
        <v>167</v>
      </c>
      <c r="G369" s="105">
        <v>0</v>
      </c>
      <c r="H369" s="57">
        <v>77479</v>
      </c>
      <c r="I369" s="57">
        <v>344</v>
      </c>
      <c r="J369" s="57">
        <v>0</v>
      </c>
      <c r="K369" s="57">
        <v>0</v>
      </c>
      <c r="L369" s="57">
        <v>579</v>
      </c>
      <c r="M369" s="57">
        <v>0</v>
      </c>
      <c r="N369" s="57">
        <v>25000</v>
      </c>
    </row>
    <row r="370" spans="2:14" x14ac:dyDescent="0.2">
      <c r="B370" s="60"/>
      <c r="C370" s="59"/>
      <c r="D370" s="59"/>
      <c r="E370" s="59"/>
      <c r="F370" s="139" t="s">
        <v>168</v>
      </c>
      <c r="G370" s="105">
        <v>165</v>
      </c>
      <c r="H370" s="57">
        <v>0</v>
      </c>
      <c r="I370" s="57">
        <v>0</v>
      </c>
      <c r="J370" s="57">
        <f>935.79</f>
        <v>935.79</v>
      </c>
      <c r="K370" s="57">
        <v>3595</v>
      </c>
      <c r="L370" s="57">
        <v>11000</v>
      </c>
      <c r="M370" s="57">
        <v>7200</v>
      </c>
      <c r="N370" s="57">
        <v>11000</v>
      </c>
    </row>
    <row r="371" spans="2:14" x14ac:dyDescent="0.2">
      <c r="B371" s="60"/>
      <c r="C371" s="270" t="s">
        <v>360</v>
      </c>
      <c r="D371" s="270"/>
      <c r="E371" s="270"/>
      <c r="F371" s="270"/>
      <c r="G371" s="64">
        <f>G372</f>
        <v>365035</v>
      </c>
      <c r="H371" s="64">
        <f t="shared" ref="H371:M371" si="133">H372</f>
        <v>345271</v>
      </c>
      <c r="I371" s="64">
        <f t="shared" si="133"/>
        <v>339422</v>
      </c>
      <c r="J371" s="64">
        <f t="shared" si="133"/>
        <v>358919.9</v>
      </c>
      <c r="K371" s="64">
        <f t="shared" si="133"/>
        <v>400092.72</v>
      </c>
      <c r="L371" s="64">
        <f t="shared" si="133"/>
        <v>393472</v>
      </c>
      <c r="M371" s="64">
        <f t="shared" si="133"/>
        <v>387565</v>
      </c>
      <c r="N371" s="64">
        <f>N372</f>
        <v>446042</v>
      </c>
    </row>
    <row r="372" spans="2:14" x14ac:dyDescent="0.2">
      <c r="B372" s="60"/>
      <c r="C372" s="59"/>
      <c r="D372" s="268" t="s">
        <v>191</v>
      </c>
      <c r="E372" s="269"/>
      <c r="F372" s="269"/>
      <c r="G372" s="70">
        <f>G373+G379+G381</f>
        <v>365035</v>
      </c>
      <c r="H372" s="70">
        <f t="shared" ref="H372:N372" si="134">H373+H379+H381</f>
        <v>345271</v>
      </c>
      <c r="I372" s="70">
        <f t="shared" si="134"/>
        <v>339422</v>
      </c>
      <c r="J372" s="70">
        <f t="shared" si="134"/>
        <v>358919.9</v>
      </c>
      <c r="K372" s="70">
        <f t="shared" si="134"/>
        <v>400092.72</v>
      </c>
      <c r="L372" s="70">
        <f t="shared" si="134"/>
        <v>393472</v>
      </c>
      <c r="M372" s="70">
        <f t="shared" si="134"/>
        <v>387565</v>
      </c>
      <c r="N372" s="70">
        <f t="shared" si="134"/>
        <v>446042</v>
      </c>
    </row>
    <row r="373" spans="2:14" x14ac:dyDescent="0.2">
      <c r="B373" s="60"/>
      <c r="C373" s="59"/>
      <c r="D373" s="59"/>
      <c r="E373" s="261" t="s">
        <v>183</v>
      </c>
      <c r="F373" s="261"/>
      <c r="G373" s="73">
        <f>SUM(G374:G378)</f>
        <v>359119</v>
      </c>
      <c r="H373" s="73">
        <f t="shared" ref="H373:N373" si="135">SUM(H374:H378)</f>
        <v>338698</v>
      </c>
      <c r="I373" s="73">
        <f t="shared" si="135"/>
        <v>328090</v>
      </c>
      <c r="J373" s="73">
        <f t="shared" si="135"/>
        <v>351953.25</v>
      </c>
      <c r="K373" s="73">
        <f t="shared" si="135"/>
        <v>381246.26</v>
      </c>
      <c r="L373" s="73">
        <f t="shared" si="135"/>
        <v>381732</v>
      </c>
      <c r="M373" s="73">
        <f t="shared" si="135"/>
        <v>378080</v>
      </c>
      <c r="N373" s="73">
        <f t="shared" si="135"/>
        <v>415602</v>
      </c>
    </row>
    <row r="374" spans="2:14" x14ac:dyDescent="0.2">
      <c r="B374" s="60"/>
      <c r="C374" s="59"/>
      <c r="D374" s="59"/>
      <c r="E374" s="59"/>
      <c r="F374" s="75" t="s">
        <v>160</v>
      </c>
      <c r="G374" s="105">
        <v>329838</v>
      </c>
      <c r="H374" s="63">
        <v>322380</v>
      </c>
      <c r="I374" s="63">
        <v>332782</v>
      </c>
      <c r="J374" s="63">
        <v>335026.63</v>
      </c>
      <c r="K374" s="57">
        <v>357717.05</v>
      </c>
      <c r="L374" s="57">
        <v>361732</v>
      </c>
      <c r="M374" s="57">
        <v>351672</v>
      </c>
      <c r="N374" s="57">
        <v>369602</v>
      </c>
    </row>
    <row r="375" spans="2:14" x14ac:dyDescent="0.2">
      <c r="B375" s="60"/>
      <c r="C375" s="59"/>
      <c r="D375" s="59"/>
      <c r="E375" s="59"/>
      <c r="F375" s="139" t="s">
        <v>161</v>
      </c>
      <c r="G375" s="105">
        <v>29281</v>
      </c>
      <c r="H375" s="57">
        <v>16318</v>
      </c>
      <c r="I375" s="57">
        <v>13458</v>
      </c>
      <c r="J375" s="57">
        <v>16926.62</v>
      </c>
      <c r="K375" s="57">
        <v>21239.19</v>
      </c>
      <c r="L375" s="57">
        <v>20000</v>
      </c>
      <c r="M375" s="57">
        <v>20000</v>
      </c>
      <c r="N375" s="57">
        <v>40000</v>
      </c>
    </row>
    <row r="376" spans="2:14" x14ac:dyDescent="0.2">
      <c r="B376" s="60"/>
      <c r="C376" s="59"/>
      <c r="D376" s="59"/>
      <c r="E376" s="59"/>
      <c r="F376" s="139" t="s">
        <v>179</v>
      </c>
      <c r="G376" s="105">
        <v>0</v>
      </c>
      <c r="H376" s="105">
        <v>0</v>
      </c>
      <c r="I376" s="105">
        <v>0</v>
      </c>
      <c r="J376" s="105">
        <v>0</v>
      </c>
      <c r="K376" s="57">
        <v>2290.02</v>
      </c>
      <c r="L376" s="57">
        <v>0</v>
      </c>
      <c r="M376" s="63">
        <v>6000</v>
      </c>
      <c r="N376" s="57">
        <v>6000</v>
      </c>
    </row>
    <row r="377" spans="2:14" x14ac:dyDescent="0.2">
      <c r="B377" s="60"/>
      <c r="C377" s="59"/>
      <c r="D377" s="59"/>
      <c r="E377" s="59"/>
      <c r="F377" s="139" t="s">
        <v>172</v>
      </c>
      <c r="G377" s="105">
        <v>0</v>
      </c>
      <c r="H377" s="105">
        <v>0</v>
      </c>
      <c r="I377" s="105">
        <v>0</v>
      </c>
      <c r="J377" s="105">
        <v>0</v>
      </c>
      <c r="K377" s="57">
        <v>0</v>
      </c>
      <c r="L377" s="57">
        <v>0</v>
      </c>
      <c r="M377" s="63">
        <v>408</v>
      </c>
      <c r="N377" s="57">
        <v>0</v>
      </c>
    </row>
    <row r="378" spans="2:14" x14ac:dyDescent="0.2">
      <c r="B378" s="60"/>
      <c r="C378" s="59"/>
      <c r="D378" s="59"/>
      <c r="E378" s="59"/>
      <c r="F378" s="139" t="s">
        <v>192</v>
      </c>
      <c r="G378" s="105">
        <v>0</v>
      </c>
      <c r="H378" s="57">
        <v>0</v>
      </c>
      <c r="I378" s="57">
        <v>-18150</v>
      </c>
      <c r="J378" s="57">
        <v>0</v>
      </c>
      <c r="K378" s="57">
        <v>0</v>
      </c>
      <c r="L378" s="57">
        <v>0</v>
      </c>
      <c r="M378" s="63">
        <v>0</v>
      </c>
      <c r="N378" s="57">
        <v>0</v>
      </c>
    </row>
    <row r="379" spans="2:14" x14ac:dyDescent="0.2">
      <c r="B379" s="60"/>
      <c r="C379" s="59"/>
      <c r="D379" s="59"/>
      <c r="E379" s="261" t="s">
        <v>181</v>
      </c>
      <c r="F379" s="261"/>
      <c r="G379" s="70">
        <f>G380</f>
        <v>0</v>
      </c>
      <c r="H379" s="70">
        <f t="shared" ref="H379:N379" si="136">H380</f>
        <v>0</v>
      </c>
      <c r="I379" s="70">
        <f t="shared" si="136"/>
        <v>0</v>
      </c>
      <c r="J379" s="70">
        <f t="shared" si="136"/>
        <v>0</v>
      </c>
      <c r="K379" s="70">
        <f t="shared" si="136"/>
        <v>6798.24</v>
      </c>
      <c r="L379" s="70">
        <f t="shared" si="136"/>
        <v>2000</v>
      </c>
      <c r="M379" s="70">
        <f t="shared" si="136"/>
        <v>0</v>
      </c>
      <c r="N379" s="70">
        <f t="shared" si="136"/>
        <v>4000</v>
      </c>
    </row>
    <row r="380" spans="2:14" x14ac:dyDescent="0.2">
      <c r="B380" s="60"/>
      <c r="C380" s="59"/>
      <c r="D380" s="59"/>
      <c r="E380" s="59"/>
      <c r="F380" s="136" t="s">
        <v>163</v>
      </c>
      <c r="G380" s="105">
        <v>0</v>
      </c>
      <c r="H380" s="63">
        <v>0</v>
      </c>
      <c r="I380" s="63">
        <v>0</v>
      </c>
      <c r="J380" s="63">
        <v>0</v>
      </c>
      <c r="K380" s="63">
        <v>6798.24</v>
      </c>
      <c r="L380" s="63">
        <v>2000</v>
      </c>
      <c r="M380" s="57">
        <v>0</v>
      </c>
      <c r="N380" s="63">
        <v>4000</v>
      </c>
    </row>
    <row r="381" spans="2:14" x14ac:dyDescent="0.2">
      <c r="B381" s="60"/>
      <c r="C381" s="59"/>
      <c r="D381" s="59"/>
      <c r="E381" s="262" t="s">
        <v>182</v>
      </c>
      <c r="F381" s="262"/>
      <c r="G381" s="70">
        <f>SUM(G382:G386)</f>
        <v>5916</v>
      </c>
      <c r="H381" s="70">
        <f t="shared" ref="H381:K381" si="137">SUM(H382:H386)</f>
        <v>6573</v>
      </c>
      <c r="I381" s="70">
        <f t="shared" si="137"/>
        <v>11332</v>
      </c>
      <c r="J381" s="70">
        <f t="shared" si="137"/>
        <v>6966.6500000000005</v>
      </c>
      <c r="K381" s="70">
        <f t="shared" si="137"/>
        <v>12048.22</v>
      </c>
      <c r="L381" s="70">
        <f>SUM(L382:L386)</f>
        <v>9740</v>
      </c>
      <c r="M381" s="70">
        <f t="shared" ref="M381" si="138">SUM(M382:M386)</f>
        <v>9485</v>
      </c>
      <c r="N381" s="70">
        <f t="shared" ref="N381" si="139">SUM(N382:N386)</f>
        <v>26440</v>
      </c>
    </row>
    <row r="382" spans="2:14" x14ac:dyDescent="0.2">
      <c r="B382" s="60"/>
      <c r="C382" s="59"/>
      <c r="D382" s="59"/>
      <c r="E382" s="59"/>
      <c r="F382" s="139" t="s">
        <v>165</v>
      </c>
      <c r="G382" s="105">
        <v>4450</v>
      </c>
      <c r="H382" s="63">
        <v>5429</v>
      </c>
      <c r="I382" s="63">
        <v>9995</v>
      </c>
      <c r="J382" s="63">
        <f>5068.47+432.75</f>
        <v>5501.22</v>
      </c>
      <c r="K382" s="63">
        <v>6094.74</v>
      </c>
      <c r="L382" s="63">
        <v>7200</v>
      </c>
      <c r="M382" s="57">
        <v>7000</v>
      </c>
      <c r="N382" s="63">
        <v>8200</v>
      </c>
    </row>
    <row r="383" spans="2:14" x14ac:dyDescent="0.2">
      <c r="B383" s="60"/>
      <c r="C383" s="59"/>
      <c r="D383" s="59"/>
      <c r="E383" s="59"/>
      <c r="F383" s="139" t="s">
        <v>166</v>
      </c>
      <c r="G383" s="105">
        <v>450</v>
      </c>
      <c r="H383" s="57">
        <v>544</v>
      </c>
      <c r="I383" s="57">
        <v>0</v>
      </c>
      <c r="J383" s="57">
        <f>117</f>
        <v>117</v>
      </c>
      <c r="K383" s="57">
        <v>460</v>
      </c>
      <c r="L383" s="57">
        <v>500</v>
      </c>
      <c r="M383" s="57">
        <v>460</v>
      </c>
      <c r="N383" s="57">
        <v>500</v>
      </c>
    </row>
    <row r="384" spans="2:14" x14ac:dyDescent="0.2">
      <c r="B384" s="60"/>
      <c r="C384" s="59"/>
      <c r="D384" s="59"/>
      <c r="E384" s="59"/>
      <c r="F384" s="139" t="s">
        <v>187</v>
      </c>
      <c r="G384" s="105">
        <v>575</v>
      </c>
      <c r="H384" s="57">
        <v>600</v>
      </c>
      <c r="I384" s="57">
        <v>600</v>
      </c>
      <c r="J384" s="57">
        <f>650</f>
        <v>650</v>
      </c>
      <c r="K384" s="57">
        <v>4650</v>
      </c>
      <c r="L384" s="57">
        <v>700</v>
      </c>
      <c r="M384" s="57">
        <v>650</v>
      </c>
      <c r="N384" s="57">
        <v>700</v>
      </c>
    </row>
    <row r="385" spans="2:15" x14ac:dyDescent="0.2">
      <c r="B385" s="60"/>
      <c r="C385" s="59"/>
      <c r="D385" s="59"/>
      <c r="E385" s="59"/>
      <c r="F385" s="139" t="s">
        <v>167</v>
      </c>
      <c r="G385" s="105">
        <v>0</v>
      </c>
      <c r="H385" s="105">
        <v>0</v>
      </c>
      <c r="I385" s="105">
        <v>0</v>
      </c>
      <c r="J385" s="105">
        <v>0</v>
      </c>
      <c r="K385" s="57">
        <v>0</v>
      </c>
      <c r="L385" s="57">
        <v>0</v>
      </c>
      <c r="M385" s="105">
        <v>0</v>
      </c>
      <c r="N385" s="57">
        <v>15000</v>
      </c>
    </row>
    <row r="386" spans="2:15" x14ac:dyDescent="0.2">
      <c r="B386" s="60"/>
      <c r="C386" s="59"/>
      <c r="D386" s="59"/>
      <c r="E386" s="59"/>
      <c r="F386" s="139" t="s">
        <v>168</v>
      </c>
      <c r="G386" s="105">
        <v>441</v>
      </c>
      <c r="H386" s="57">
        <v>0</v>
      </c>
      <c r="I386" s="57">
        <v>737</v>
      </c>
      <c r="J386" s="57">
        <f>100+578.43+20</f>
        <v>698.43</v>
      </c>
      <c r="K386" s="57">
        <v>843.48</v>
      </c>
      <c r="L386" s="57">
        <v>1340</v>
      </c>
      <c r="M386" s="57">
        <v>1375</v>
      </c>
      <c r="N386" s="57">
        <v>2040</v>
      </c>
    </row>
    <row r="387" spans="2:15" x14ac:dyDescent="0.2">
      <c r="B387" s="60"/>
      <c r="C387" s="270" t="s">
        <v>362</v>
      </c>
      <c r="D387" s="270"/>
      <c r="E387" s="270"/>
      <c r="F387" s="270"/>
      <c r="G387" s="64">
        <f>G388+G399</f>
        <v>577513</v>
      </c>
      <c r="H387" s="64">
        <f t="shared" ref="H387:J387" si="140">H388+H399</f>
        <v>576045</v>
      </c>
      <c r="I387" s="64">
        <f t="shared" si="140"/>
        <v>589690</v>
      </c>
      <c r="J387" s="64">
        <f t="shared" si="140"/>
        <v>737842.98</v>
      </c>
      <c r="K387" s="64">
        <f>K388+K399</f>
        <v>781232.28</v>
      </c>
      <c r="L387" s="64">
        <f t="shared" ref="L387" si="141">L388+L399</f>
        <v>916778</v>
      </c>
      <c r="M387" s="64">
        <f t="shared" ref="M387" si="142">M388+M399</f>
        <v>821522</v>
      </c>
      <c r="N387" s="64">
        <f>N388+N399</f>
        <v>1373052</v>
      </c>
    </row>
    <row r="388" spans="2:15" x14ac:dyDescent="0.2">
      <c r="B388" s="60"/>
      <c r="C388" s="59"/>
      <c r="D388" s="261" t="s">
        <v>361</v>
      </c>
      <c r="E388" s="273"/>
      <c r="F388" s="273"/>
      <c r="G388" s="70">
        <f>G389+G392</f>
        <v>565813</v>
      </c>
      <c r="H388" s="70">
        <f t="shared" ref="H388:N388" si="143">H389+H392</f>
        <v>563445</v>
      </c>
      <c r="I388" s="70">
        <f t="shared" si="143"/>
        <v>565840</v>
      </c>
      <c r="J388" s="70">
        <f t="shared" si="143"/>
        <v>715792.98</v>
      </c>
      <c r="K388" s="70">
        <f t="shared" si="143"/>
        <v>761532.28</v>
      </c>
      <c r="L388" s="70">
        <f t="shared" si="143"/>
        <v>897992</v>
      </c>
      <c r="M388" s="70">
        <f t="shared" si="143"/>
        <v>802522</v>
      </c>
      <c r="N388" s="70">
        <f t="shared" si="143"/>
        <v>1352852</v>
      </c>
    </row>
    <row r="389" spans="2:15" x14ac:dyDescent="0.2">
      <c r="B389" s="60"/>
      <c r="C389" s="59"/>
      <c r="D389" s="59"/>
      <c r="E389" s="263" t="s">
        <v>159</v>
      </c>
      <c r="F389" s="263"/>
      <c r="G389" s="66">
        <f>SUM(G390:G391)</f>
        <v>552295</v>
      </c>
      <c r="H389" s="66">
        <f t="shared" ref="H389:N389" si="144">SUM(H390:H391)</f>
        <v>511096</v>
      </c>
      <c r="I389" s="66">
        <f t="shared" si="144"/>
        <v>527377</v>
      </c>
      <c r="J389" s="66">
        <f t="shared" si="144"/>
        <v>667921.23</v>
      </c>
      <c r="K389" s="66">
        <f t="shared" si="144"/>
        <v>689454.63</v>
      </c>
      <c r="L389" s="66">
        <f t="shared" si="144"/>
        <v>817967</v>
      </c>
      <c r="M389" s="66">
        <f t="shared" si="144"/>
        <v>752142</v>
      </c>
      <c r="N389" s="66">
        <f t="shared" si="144"/>
        <v>771427</v>
      </c>
    </row>
    <row r="390" spans="2:15" x14ac:dyDescent="0.2">
      <c r="B390" s="60"/>
      <c r="C390" s="59"/>
      <c r="D390" s="59"/>
      <c r="E390" s="59"/>
      <c r="F390" s="136" t="s">
        <v>160</v>
      </c>
      <c r="G390" s="105">
        <v>552295</v>
      </c>
      <c r="H390" s="57">
        <v>511096</v>
      </c>
      <c r="I390" s="57">
        <v>527377</v>
      </c>
      <c r="J390" s="57">
        <v>667921.23</v>
      </c>
      <c r="K390" s="57">
        <v>689454.63</v>
      </c>
      <c r="L390" s="57">
        <v>817967</v>
      </c>
      <c r="M390" s="57">
        <v>752142</v>
      </c>
      <c r="N390" s="57">
        <v>736427</v>
      </c>
    </row>
    <row r="391" spans="2:15" x14ac:dyDescent="0.2">
      <c r="B391" s="60"/>
      <c r="C391" s="59"/>
      <c r="D391" s="59"/>
      <c r="E391" s="59"/>
      <c r="F391" s="139" t="s">
        <v>161</v>
      </c>
      <c r="G391" s="105">
        <v>0</v>
      </c>
      <c r="H391" s="105">
        <v>0</v>
      </c>
      <c r="I391" s="105">
        <v>0</v>
      </c>
      <c r="J391" s="105">
        <v>0</v>
      </c>
      <c r="K391" s="57">
        <v>0</v>
      </c>
      <c r="L391" s="57">
        <v>0</v>
      </c>
      <c r="M391" s="105">
        <v>0</v>
      </c>
      <c r="N391" s="57">
        <v>35000</v>
      </c>
    </row>
    <row r="392" spans="2:15" x14ac:dyDescent="0.2">
      <c r="B392" s="60"/>
      <c r="C392" s="59"/>
      <c r="D392" s="59"/>
      <c r="E392" s="262" t="s">
        <v>182</v>
      </c>
      <c r="F392" s="262"/>
      <c r="G392" s="70">
        <f>SUM(G393:G398)</f>
        <v>13518</v>
      </c>
      <c r="H392" s="70">
        <f t="shared" ref="H392:N392" si="145">SUM(H393:H398)</f>
        <v>52349</v>
      </c>
      <c r="I392" s="70">
        <f t="shared" si="145"/>
        <v>38463</v>
      </c>
      <c r="J392" s="70">
        <f t="shared" si="145"/>
        <v>47871.75</v>
      </c>
      <c r="K392" s="70">
        <f t="shared" si="145"/>
        <v>72077.649999999994</v>
      </c>
      <c r="L392" s="70">
        <f t="shared" si="145"/>
        <v>80025</v>
      </c>
      <c r="M392" s="70">
        <f t="shared" si="145"/>
        <v>50380</v>
      </c>
      <c r="N392" s="70">
        <f t="shared" si="145"/>
        <v>581425</v>
      </c>
    </row>
    <row r="393" spans="2:15" x14ac:dyDescent="0.2">
      <c r="B393" s="60"/>
      <c r="C393" s="59"/>
      <c r="D393" s="59"/>
      <c r="E393" s="59"/>
      <c r="F393" s="139" t="s">
        <v>165</v>
      </c>
      <c r="G393" s="105">
        <v>2996</v>
      </c>
      <c r="H393" s="63">
        <v>9087</v>
      </c>
      <c r="I393" s="63">
        <v>4060</v>
      </c>
      <c r="J393" s="63">
        <f>3141.97+865.8</f>
        <v>4007.7699999999995</v>
      </c>
      <c r="K393" s="63">
        <v>5700.65</v>
      </c>
      <c r="L393" s="63">
        <v>6200</v>
      </c>
      <c r="M393" s="57">
        <v>5530</v>
      </c>
      <c r="N393" s="63">
        <v>6200</v>
      </c>
    </row>
    <row r="394" spans="2:15" x14ac:dyDescent="0.2">
      <c r="B394" s="60"/>
      <c r="C394" s="59"/>
      <c r="D394" s="59"/>
      <c r="E394" s="59"/>
      <c r="F394" s="139" t="s">
        <v>166</v>
      </c>
      <c r="G394" s="105">
        <v>1942</v>
      </c>
      <c r="H394" s="57">
        <v>2361</v>
      </c>
      <c r="I394" s="57">
        <v>80</v>
      </c>
      <c r="J394" s="57">
        <v>1500</v>
      </c>
      <c r="K394" s="57">
        <v>0</v>
      </c>
      <c r="L394" s="57">
        <v>3800</v>
      </c>
      <c r="M394" s="57">
        <v>3300</v>
      </c>
      <c r="N394" s="57">
        <v>3000</v>
      </c>
    </row>
    <row r="395" spans="2:15" x14ac:dyDescent="0.2">
      <c r="B395" s="60"/>
      <c r="C395" s="59"/>
      <c r="D395" s="59"/>
      <c r="E395" s="59"/>
      <c r="F395" s="139" t="s">
        <v>167</v>
      </c>
      <c r="G395" s="105">
        <v>2200</v>
      </c>
      <c r="H395" s="57">
        <v>35100</v>
      </c>
      <c r="I395" s="57">
        <v>27350</v>
      </c>
      <c r="J395" s="57">
        <v>34050</v>
      </c>
      <c r="K395" s="57">
        <v>56255</v>
      </c>
      <c r="L395" s="57">
        <v>60000</v>
      </c>
      <c r="M395" s="57">
        <v>32000</v>
      </c>
      <c r="N395" s="57">
        <v>560000</v>
      </c>
      <c r="O395" s="12" t="s">
        <v>546</v>
      </c>
    </row>
    <row r="396" spans="2:15" x14ac:dyDescent="0.2">
      <c r="B396" s="60"/>
      <c r="C396" s="59"/>
      <c r="D396" s="59"/>
      <c r="E396" s="59"/>
      <c r="F396" s="139" t="s">
        <v>168</v>
      </c>
      <c r="G396" s="105">
        <v>4180</v>
      </c>
      <c r="H396" s="57">
        <v>3401</v>
      </c>
      <c r="I396" s="57">
        <v>4773</v>
      </c>
      <c r="J396" s="57">
        <f>1210.98+2608+4295</f>
        <v>8113.98</v>
      </c>
      <c r="K396" s="57">
        <v>7909</v>
      </c>
      <c r="L396" s="57">
        <v>9725</v>
      </c>
      <c r="M396" s="57">
        <v>9250</v>
      </c>
      <c r="N396" s="57">
        <v>12225</v>
      </c>
    </row>
    <row r="397" spans="2:15" x14ac:dyDescent="0.2">
      <c r="B397" s="60"/>
      <c r="C397" s="59"/>
      <c r="D397" s="59"/>
      <c r="E397" s="59"/>
      <c r="F397" s="139" t="s">
        <v>176</v>
      </c>
      <c r="G397" s="105">
        <v>0</v>
      </c>
      <c r="H397" s="57">
        <v>200</v>
      </c>
      <c r="I397" s="57">
        <v>0</v>
      </c>
      <c r="J397" s="57">
        <v>200</v>
      </c>
      <c r="K397" s="57">
        <v>0</v>
      </c>
      <c r="L397" s="57">
        <v>300</v>
      </c>
      <c r="M397" s="57">
        <v>300</v>
      </c>
      <c r="N397" s="57">
        <v>0</v>
      </c>
    </row>
    <row r="398" spans="2:15" x14ac:dyDescent="0.2">
      <c r="B398" s="60"/>
      <c r="C398" s="59"/>
      <c r="D398" s="59"/>
      <c r="E398" s="59"/>
      <c r="F398" s="139" t="s">
        <v>189</v>
      </c>
      <c r="G398" s="105">
        <v>2200</v>
      </c>
      <c r="H398" s="57">
        <v>2200</v>
      </c>
      <c r="I398" s="57">
        <v>2200</v>
      </c>
      <c r="J398" s="57">
        <v>0</v>
      </c>
      <c r="K398" s="57">
        <v>2213</v>
      </c>
      <c r="L398" s="57">
        <v>0</v>
      </c>
      <c r="M398" s="57">
        <v>0</v>
      </c>
      <c r="N398" s="57">
        <v>0</v>
      </c>
    </row>
    <row r="399" spans="2:15" x14ac:dyDescent="0.2">
      <c r="B399" s="60"/>
      <c r="C399" s="59"/>
      <c r="D399" s="268" t="s">
        <v>363</v>
      </c>
      <c r="E399" s="269"/>
      <c r="F399" s="269"/>
      <c r="G399" s="70">
        <f>G400+G402</f>
        <v>11700</v>
      </c>
      <c r="H399" s="70">
        <f t="shared" ref="H399:N399" si="146">H400+H402</f>
        <v>12600</v>
      </c>
      <c r="I399" s="70">
        <f t="shared" si="146"/>
        <v>23850</v>
      </c>
      <c r="J399" s="70">
        <f t="shared" si="146"/>
        <v>22050</v>
      </c>
      <c r="K399" s="70">
        <f t="shared" si="146"/>
        <v>19700</v>
      </c>
      <c r="L399" s="70">
        <f t="shared" si="146"/>
        <v>18786</v>
      </c>
      <c r="M399" s="70">
        <f t="shared" si="146"/>
        <v>19000</v>
      </c>
      <c r="N399" s="70">
        <f t="shared" si="146"/>
        <v>20200</v>
      </c>
    </row>
    <row r="400" spans="2:15" x14ac:dyDescent="0.2">
      <c r="B400" s="60"/>
      <c r="C400" s="59"/>
      <c r="D400" s="59"/>
      <c r="E400" s="268" t="s">
        <v>159</v>
      </c>
      <c r="F400" s="268"/>
      <c r="G400" s="66">
        <f>G401</f>
        <v>11700</v>
      </c>
      <c r="H400" s="66">
        <f t="shared" ref="H400:N400" si="147">H401</f>
        <v>12600</v>
      </c>
      <c r="I400" s="66">
        <f t="shared" si="147"/>
        <v>23850</v>
      </c>
      <c r="J400" s="66">
        <f t="shared" si="147"/>
        <v>22050</v>
      </c>
      <c r="K400" s="66">
        <f t="shared" si="147"/>
        <v>19700</v>
      </c>
      <c r="L400" s="66">
        <f t="shared" si="147"/>
        <v>18586</v>
      </c>
      <c r="M400" s="66">
        <f t="shared" si="147"/>
        <v>19000</v>
      </c>
      <c r="N400" s="66">
        <f t="shared" si="147"/>
        <v>20000</v>
      </c>
    </row>
    <row r="401" spans="2:14" x14ac:dyDescent="0.2">
      <c r="B401" s="60"/>
      <c r="C401" s="59"/>
      <c r="D401" s="59"/>
      <c r="E401" s="59"/>
      <c r="F401" s="136" t="s">
        <v>160</v>
      </c>
      <c r="G401" s="105">
        <v>11700</v>
      </c>
      <c r="H401" s="57">
        <v>12600</v>
      </c>
      <c r="I401" s="57">
        <v>23850</v>
      </c>
      <c r="J401" s="57">
        <v>22050</v>
      </c>
      <c r="K401" s="57">
        <v>19700</v>
      </c>
      <c r="L401" s="57">
        <v>18586</v>
      </c>
      <c r="M401" s="57">
        <v>19000</v>
      </c>
      <c r="N401" s="57">
        <v>20000</v>
      </c>
    </row>
    <row r="402" spans="2:14" x14ac:dyDescent="0.2">
      <c r="B402" s="60"/>
      <c r="C402" s="59"/>
      <c r="D402" s="59"/>
      <c r="E402" s="261" t="s">
        <v>170</v>
      </c>
      <c r="F402" s="261"/>
      <c r="G402" s="66">
        <f>G403</f>
        <v>0</v>
      </c>
      <c r="H402" s="66">
        <f t="shared" ref="H402:N402" si="148">H403</f>
        <v>0</v>
      </c>
      <c r="I402" s="66">
        <f t="shared" si="148"/>
        <v>0</v>
      </c>
      <c r="J402" s="66">
        <f t="shared" si="148"/>
        <v>0</v>
      </c>
      <c r="K402" s="66">
        <f t="shared" si="148"/>
        <v>0</v>
      </c>
      <c r="L402" s="66">
        <f t="shared" si="148"/>
        <v>200</v>
      </c>
      <c r="M402" s="66">
        <f t="shared" si="148"/>
        <v>0</v>
      </c>
      <c r="N402" s="66">
        <f t="shared" si="148"/>
        <v>200</v>
      </c>
    </row>
    <row r="403" spans="2:14" x14ac:dyDescent="0.2">
      <c r="B403" s="60"/>
      <c r="C403" s="59"/>
      <c r="D403" s="59"/>
      <c r="E403" s="59"/>
      <c r="F403" s="139" t="s">
        <v>168</v>
      </c>
      <c r="G403" s="105">
        <v>0</v>
      </c>
      <c r="H403" s="57">
        <v>0</v>
      </c>
      <c r="I403" s="57">
        <v>0</v>
      </c>
      <c r="J403" s="57">
        <v>0</v>
      </c>
      <c r="K403" s="57">
        <v>0</v>
      </c>
      <c r="L403" s="57">
        <v>200</v>
      </c>
      <c r="M403" s="57">
        <v>0</v>
      </c>
      <c r="N403" s="57">
        <v>200</v>
      </c>
    </row>
    <row r="404" spans="2:14" x14ac:dyDescent="0.2">
      <c r="B404" s="60"/>
      <c r="C404" s="270" t="s">
        <v>364</v>
      </c>
      <c r="D404" s="270"/>
      <c r="E404" s="270"/>
      <c r="F404" s="270"/>
      <c r="G404" s="64">
        <f>G405</f>
        <v>7725</v>
      </c>
      <c r="H404" s="64">
        <f t="shared" ref="H404:N404" si="149">H405</f>
        <v>7565</v>
      </c>
      <c r="I404" s="64">
        <f t="shared" si="149"/>
        <v>6210</v>
      </c>
      <c r="J404" s="64">
        <f t="shared" si="149"/>
        <v>5565</v>
      </c>
      <c r="K404" s="64">
        <f t="shared" si="149"/>
        <v>3225</v>
      </c>
      <c r="L404" s="64">
        <f t="shared" si="149"/>
        <v>8835</v>
      </c>
      <c r="M404" s="64">
        <f t="shared" si="149"/>
        <v>8200</v>
      </c>
      <c r="N404" s="64">
        <f t="shared" si="149"/>
        <v>8535</v>
      </c>
    </row>
    <row r="405" spans="2:14" x14ac:dyDescent="0.2">
      <c r="B405" s="60"/>
      <c r="C405" s="59"/>
      <c r="D405" s="263" t="s">
        <v>193</v>
      </c>
      <c r="E405" s="276"/>
      <c r="F405" s="276"/>
      <c r="G405" s="70">
        <v>7725</v>
      </c>
      <c r="H405" s="70">
        <v>7565</v>
      </c>
      <c r="I405" s="70">
        <v>6210</v>
      </c>
      <c r="J405" s="70">
        <v>5565</v>
      </c>
      <c r="K405" s="70">
        <v>3225</v>
      </c>
      <c r="L405" s="70">
        <v>8835</v>
      </c>
      <c r="M405" s="70">
        <v>8200</v>
      </c>
      <c r="N405" s="70">
        <v>8535</v>
      </c>
    </row>
    <row r="406" spans="2:14" x14ac:dyDescent="0.2">
      <c r="B406" s="60"/>
      <c r="C406" s="59"/>
      <c r="D406" s="59"/>
      <c r="E406" s="263" t="s">
        <v>159</v>
      </c>
      <c r="F406" s="263"/>
      <c r="G406" s="66">
        <f>G407</f>
        <v>7725</v>
      </c>
      <c r="H406" s="66">
        <f t="shared" ref="H406:N406" si="150">H407</f>
        <v>7275</v>
      </c>
      <c r="I406" s="66">
        <f t="shared" si="150"/>
        <v>6060</v>
      </c>
      <c r="J406" s="66">
        <f t="shared" si="150"/>
        <v>5565</v>
      </c>
      <c r="K406" s="66">
        <f t="shared" si="150"/>
        <v>3225</v>
      </c>
      <c r="L406" s="66">
        <f t="shared" si="150"/>
        <v>8535</v>
      </c>
      <c r="M406" s="66">
        <f t="shared" si="150"/>
        <v>8200</v>
      </c>
      <c r="N406" s="66">
        <f t="shared" si="150"/>
        <v>8535</v>
      </c>
    </row>
    <row r="407" spans="2:14" x14ac:dyDescent="0.2">
      <c r="B407" s="60"/>
      <c r="C407" s="59"/>
      <c r="D407" s="59"/>
      <c r="E407" s="59"/>
      <c r="F407" s="139" t="s">
        <v>161</v>
      </c>
      <c r="G407" s="105">
        <v>7725</v>
      </c>
      <c r="H407" s="57">
        <v>7275</v>
      </c>
      <c r="I407" s="57">
        <v>6060</v>
      </c>
      <c r="J407" s="57">
        <v>5565</v>
      </c>
      <c r="K407" s="57">
        <v>3225</v>
      </c>
      <c r="L407" s="57">
        <v>8535</v>
      </c>
      <c r="M407" s="57">
        <v>8200</v>
      </c>
      <c r="N407" s="57">
        <v>8535</v>
      </c>
    </row>
    <row r="408" spans="2:14" x14ac:dyDescent="0.2">
      <c r="B408" s="60"/>
      <c r="C408" s="59"/>
      <c r="D408" s="59"/>
      <c r="E408" s="261" t="s">
        <v>170</v>
      </c>
      <c r="F408" s="261"/>
      <c r="G408" s="66">
        <f>G409</f>
        <v>0</v>
      </c>
      <c r="H408" s="66">
        <f t="shared" ref="H408:N408" si="151">H409</f>
        <v>290</v>
      </c>
      <c r="I408" s="66">
        <f t="shared" si="151"/>
        <v>150</v>
      </c>
      <c r="J408" s="66">
        <f t="shared" si="151"/>
        <v>0</v>
      </c>
      <c r="K408" s="66">
        <f t="shared" si="151"/>
        <v>0</v>
      </c>
      <c r="L408" s="66">
        <f t="shared" si="151"/>
        <v>300</v>
      </c>
      <c r="M408" s="66">
        <f t="shared" si="151"/>
        <v>0</v>
      </c>
      <c r="N408" s="66">
        <f t="shared" si="151"/>
        <v>0</v>
      </c>
    </row>
    <row r="409" spans="2:14" x14ac:dyDescent="0.2">
      <c r="B409" s="60"/>
      <c r="C409" s="59"/>
      <c r="D409" s="59"/>
      <c r="E409" s="59"/>
      <c r="F409" s="139" t="s">
        <v>168</v>
      </c>
      <c r="G409" s="105">
        <v>0</v>
      </c>
      <c r="H409" s="57">
        <v>290</v>
      </c>
      <c r="I409" s="57">
        <v>150</v>
      </c>
      <c r="J409" s="57">
        <v>0</v>
      </c>
      <c r="K409" s="57">
        <v>0</v>
      </c>
      <c r="L409" s="57">
        <v>300</v>
      </c>
      <c r="M409" s="57">
        <v>0</v>
      </c>
      <c r="N409" s="57">
        <v>0</v>
      </c>
    </row>
    <row r="410" spans="2:14" x14ac:dyDescent="0.2">
      <c r="B410" s="60"/>
      <c r="C410" s="270" t="s">
        <v>93</v>
      </c>
      <c r="D410" s="270"/>
      <c r="E410" s="270"/>
      <c r="F410" s="270"/>
      <c r="G410" s="64">
        <f>G411+G426</f>
        <v>2825362</v>
      </c>
      <c r="H410" s="64">
        <f t="shared" ref="H410:K410" si="152">H411+H426</f>
        <v>3552600</v>
      </c>
      <c r="I410" s="64">
        <f t="shared" si="152"/>
        <v>3701628</v>
      </c>
      <c r="J410" s="64">
        <f t="shared" si="152"/>
        <v>4798154.41</v>
      </c>
      <c r="K410" s="64">
        <f t="shared" si="152"/>
        <v>5065531.9400000004</v>
      </c>
      <c r="L410" s="64">
        <f>L411+L426</f>
        <v>5302185</v>
      </c>
      <c r="M410" s="64">
        <f t="shared" ref="M410" si="153">M411+M426</f>
        <v>5671802</v>
      </c>
      <c r="N410" s="64">
        <f t="shared" ref="N410" si="154">N411+N426</f>
        <v>5549651</v>
      </c>
    </row>
    <row r="411" spans="2:14" x14ac:dyDescent="0.2">
      <c r="B411" s="60"/>
      <c r="C411" s="59"/>
      <c r="D411" s="261" t="s">
        <v>365</v>
      </c>
      <c r="E411" s="273"/>
      <c r="F411" s="273"/>
      <c r="G411" s="70">
        <f>G412+G416+G418</f>
        <v>2707641</v>
      </c>
      <c r="H411" s="70">
        <f t="shared" ref="H411:N411" si="155">H412+H416+H418</f>
        <v>3346207</v>
      </c>
      <c r="I411" s="70">
        <f t="shared" si="155"/>
        <v>3424781</v>
      </c>
      <c r="J411" s="70">
        <f t="shared" si="155"/>
        <v>4324457.18</v>
      </c>
      <c r="K411" s="70">
        <f t="shared" si="155"/>
        <v>4570918.9000000004</v>
      </c>
      <c r="L411" s="70">
        <f t="shared" si="155"/>
        <v>4403310</v>
      </c>
      <c r="M411" s="70">
        <f t="shared" si="155"/>
        <v>5094403</v>
      </c>
      <c r="N411" s="70">
        <f t="shared" si="155"/>
        <v>4708551</v>
      </c>
    </row>
    <row r="412" spans="2:14" x14ac:dyDescent="0.2">
      <c r="B412" s="60"/>
      <c r="C412" s="59"/>
      <c r="D412" s="59"/>
      <c r="E412" s="263" t="s">
        <v>159</v>
      </c>
      <c r="F412" s="263"/>
      <c r="G412" s="66">
        <f>SUM(G413:G415)</f>
        <v>1156837</v>
      </c>
      <c r="H412" s="66">
        <f t="shared" ref="H412:K412" si="156">SUM(H413:H415)</f>
        <v>1364366</v>
      </c>
      <c r="I412" s="66">
        <f t="shared" si="156"/>
        <v>1766782</v>
      </c>
      <c r="J412" s="66">
        <f t="shared" si="156"/>
        <v>2436541.46</v>
      </c>
      <c r="K412" s="66">
        <f t="shared" si="156"/>
        <v>2890336.59</v>
      </c>
      <c r="L412" s="66">
        <f>SUM(L413:L415)</f>
        <v>3121848</v>
      </c>
      <c r="M412" s="66">
        <f t="shared" ref="M412" si="157">SUM(M413:M415)</f>
        <v>3093700</v>
      </c>
      <c r="N412" s="66">
        <f t="shared" ref="N412" si="158">SUM(N413:N415)</f>
        <v>2932527</v>
      </c>
    </row>
    <row r="413" spans="2:14" x14ac:dyDescent="0.2">
      <c r="B413" s="60"/>
      <c r="C413" s="59"/>
      <c r="D413" s="59"/>
      <c r="E413" s="59"/>
      <c r="F413" s="139" t="s">
        <v>160</v>
      </c>
      <c r="G413" s="105">
        <v>1535218</v>
      </c>
      <c r="H413" s="57">
        <v>1641809</v>
      </c>
      <c r="I413" s="57">
        <v>1863890</v>
      </c>
      <c r="J413" s="57">
        <v>2575492.96</v>
      </c>
      <c r="K413" s="57">
        <v>3082616.59</v>
      </c>
      <c r="L413" s="57">
        <v>3221988</v>
      </c>
      <c r="M413" s="57">
        <v>3127390</v>
      </c>
      <c r="N413" s="57">
        <v>3033667</v>
      </c>
    </row>
    <row r="414" spans="2:14" x14ac:dyDescent="0.2">
      <c r="B414" s="60"/>
      <c r="C414" s="59"/>
      <c r="D414" s="59"/>
      <c r="E414" s="59"/>
      <c r="F414" s="139" t="s">
        <v>161</v>
      </c>
      <c r="G414" s="105">
        <v>32452</v>
      </c>
      <c r="H414" s="57">
        <v>27225</v>
      </c>
      <c r="I414" s="57">
        <v>22043</v>
      </c>
      <c r="J414" s="57">
        <v>517.5</v>
      </c>
      <c r="K414" s="57">
        <v>0</v>
      </c>
      <c r="L414" s="57">
        <v>1000</v>
      </c>
      <c r="M414" s="57">
        <v>67450</v>
      </c>
      <c r="N414" s="57">
        <v>0</v>
      </c>
    </row>
    <row r="415" spans="2:14" x14ac:dyDescent="0.2">
      <c r="B415" s="60"/>
      <c r="C415" s="59"/>
      <c r="D415" s="59"/>
      <c r="E415" s="59"/>
      <c r="F415" s="139" t="s">
        <v>173</v>
      </c>
      <c r="G415" s="105">
        <v>-410833</v>
      </c>
      <c r="H415" s="57">
        <v>-304668</v>
      </c>
      <c r="I415" s="57">
        <v>-119151</v>
      </c>
      <c r="J415" s="57">
        <v>-139469</v>
      </c>
      <c r="K415" s="57">
        <v>-192280</v>
      </c>
      <c r="L415" s="57">
        <v>-101140</v>
      </c>
      <c r="M415" s="57">
        <v>-101140</v>
      </c>
      <c r="N415" s="57">
        <v>-101140</v>
      </c>
    </row>
    <row r="416" spans="2:14" x14ac:dyDescent="0.2">
      <c r="B416" s="60"/>
      <c r="C416" s="59"/>
      <c r="D416" s="59"/>
      <c r="E416" s="261" t="s">
        <v>181</v>
      </c>
      <c r="F416" s="261"/>
      <c r="G416" s="71">
        <f>G417</f>
        <v>0</v>
      </c>
      <c r="H416" s="71">
        <f t="shared" ref="H416:N416" si="159">H417</f>
        <v>0</v>
      </c>
      <c r="I416" s="71">
        <f t="shared" si="159"/>
        <v>0</v>
      </c>
      <c r="J416" s="71">
        <f t="shared" si="159"/>
        <v>0</v>
      </c>
      <c r="K416" s="71">
        <f t="shared" si="159"/>
        <v>1879.92</v>
      </c>
      <c r="L416" s="71">
        <f t="shared" si="159"/>
        <v>4000</v>
      </c>
      <c r="M416" s="71">
        <f t="shared" si="159"/>
        <v>4000</v>
      </c>
      <c r="N416" s="71">
        <f t="shared" si="159"/>
        <v>0</v>
      </c>
    </row>
    <row r="417" spans="2:15" x14ac:dyDescent="0.2">
      <c r="B417" s="60"/>
      <c r="C417" s="59"/>
      <c r="D417" s="59"/>
      <c r="E417" s="59"/>
      <c r="F417" s="136" t="s">
        <v>163</v>
      </c>
      <c r="G417" s="105">
        <v>0</v>
      </c>
      <c r="H417" s="63">
        <v>0</v>
      </c>
      <c r="I417" s="63">
        <v>0</v>
      </c>
      <c r="J417" s="63">
        <v>0</v>
      </c>
      <c r="K417" s="63">
        <v>1879.92</v>
      </c>
      <c r="L417" s="63">
        <v>4000</v>
      </c>
      <c r="M417" s="57">
        <v>4000</v>
      </c>
      <c r="N417" s="63">
        <v>0</v>
      </c>
    </row>
    <row r="418" spans="2:15" x14ac:dyDescent="0.2">
      <c r="B418" s="60"/>
      <c r="C418" s="59"/>
      <c r="D418" s="59"/>
      <c r="E418" s="262" t="s">
        <v>182</v>
      </c>
      <c r="F418" s="262"/>
      <c r="G418" s="70">
        <f>SUM(G419:G425)</f>
        <v>1550804</v>
      </c>
      <c r="H418" s="70">
        <f t="shared" ref="H418:K418" si="160">SUM(H419:H425)</f>
        <v>1981841</v>
      </c>
      <c r="I418" s="70">
        <f t="shared" si="160"/>
        <v>1657999</v>
      </c>
      <c r="J418" s="70">
        <f t="shared" si="160"/>
        <v>1887915.7199999997</v>
      </c>
      <c r="K418" s="70">
        <f t="shared" si="160"/>
        <v>1678702.3900000001</v>
      </c>
      <c r="L418" s="70">
        <f>SUM(L419:L425)</f>
        <v>1277462</v>
      </c>
      <c r="M418" s="70">
        <f t="shared" ref="M418" si="161">SUM(M419:M425)</f>
        <v>1996703</v>
      </c>
      <c r="N418" s="70">
        <f t="shared" ref="N418" si="162">SUM(N419:N425)</f>
        <v>1776024</v>
      </c>
    </row>
    <row r="419" spans="2:15" x14ac:dyDescent="0.2">
      <c r="B419" s="60"/>
      <c r="C419" s="59"/>
      <c r="D419" s="59"/>
      <c r="E419" s="59"/>
      <c r="F419" s="139" t="s">
        <v>165</v>
      </c>
      <c r="G419" s="105">
        <v>29321</v>
      </c>
      <c r="H419" s="63">
        <v>23500</v>
      </c>
      <c r="I419" s="63">
        <v>21648</v>
      </c>
      <c r="J419" s="63">
        <f>15434.46+3059.85</f>
        <v>18494.309999999998</v>
      </c>
      <c r="K419" s="63">
        <v>22053.98</v>
      </c>
      <c r="L419" s="63">
        <v>29400</v>
      </c>
      <c r="M419" s="57">
        <v>24500</v>
      </c>
      <c r="N419" s="63">
        <v>24000</v>
      </c>
    </row>
    <row r="420" spans="2:15" x14ac:dyDescent="0.2">
      <c r="B420" s="60"/>
      <c r="C420" s="59"/>
      <c r="D420" s="59"/>
      <c r="E420" s="59"/>
      <c r="F420" s="139" t="s">
        <v>166</v>
      </c>
      <c r="G420" s="105">
        <v>17961</v>
      </c>
      <c r="H420" s="57">
        <v>14280</v>
      </c>
      <c r="I420" s="57">
        <v>14013</v>
      </c>
      <c r="J420" s="57">
        <f>2943.71+75.17+21355.69</f>
        <v>24374.57</v>
      </c>
      <c r="K420" s="57">
        <v>31846.48</v>
      </c>
      <c r="L420" s="57">
        <v>119575</v>
      </c>
      <c r="M420" s="57">
        <v>121950</v>
      </c>
      <c r="N420" s="57">
        <v>96400</v>
      </c>
    </row>
    <row r="421" spans="2:15" x14ac:dyDescent="0.2">
      <c r="B421" s="60"/>
      <c r="C421" s="59"/>
      <c r="D421" s="59"/>
      <c r="E421" s="59"/>
      <c r="F421" s="139" t="s">
        <v>167</v>
      </c>
      <c r="G421" s="105">
        <v>1493027</v>
      </c>
      <c r="H421" s="57">
        <v>1928058</v>
      </c>
      <c r="I421" s="57">
        <v>1315480</v>
      </c>
      <c r="J421" s="57">
        <v>1531158.3</v>
      </c>
      <c r="K421" s="57">
        <v>1419683.03</v>
      </c>
      <c r="L421" s="57">
        <v>810933</v>
      </c>
      <c r="M421" s="57">
        <v>1525000</v>
      </c>
      <c r="N421" s="57">
        <v>1294000</v>
      </c>
      <c r="O421" s="12" t="s">
        <v>547</v>
      </c>
    </row>
    <row r="422" spans="2:15" x14ac:dyDescent="0.2">
      <c r="B422" s="60"/>
      <c r="C422" s="59"/>
      <c r="D422" s="59"/>
      <c r="E422" s="59"/>
      <c r="F422" s="139" t="s">
        <v>168</v>
      </c>
      <c r="G422" s="105">
        <v>4382</v>
      </c>
      <c r="H422" s="57">
        <v>9306</v>
      </c>
      <c r="I422" s="57">
        <v>17524</v>
      </c>
      <c r="J422" s="57">
        <f>5456.03+2113+6017.81</f>
        <v>13586.84</v>
      </c>
      <c r="K422" s="57">
        <v>21024.080000000002</v>
      </c>
      <c r="L422" s="57">
        <v>22200</v>
      </c>
      <c r="M422" s="57">
        <v>15300</v>
      </c>
      <c r="N422" s="57">
        <v>14000</v>
      </c>
    </row>
    <row r="423" spans="2:15" x14ac:dyDescent="0.2">
      <c r="B423" s="60"/>
      <c r="C423" s="59"/>
      <c r="D423" s="59"/>
      <c r="E423" s="59"/>
      <c r="F423" s="139" t="s">
        <v>175</v>
      </c>
      <c r="G423" s="105">
        <v>0</v>
      </c>
      <c r="H423" s="57">
        <v>0</v>
      </c>
      <c r="I423" s="57">
        <v>280129</v>
      </c>
      <c r="J423" s="57">
        <v>290220.38</v>
      </c>
      <c r="K423" s="57">
        <v>168903</v>
      </c>
      <c r="L423" s="57">
        <v>286054</v>
      </c>
      <c r="M423" s="57">
        <v>301453</v>
      </c>
      <c r="N423" s="57">
        <v>338624</v>
      </c>
    </row>
    <row r="424" spans="2:15" x14ac:dyDescent="0.2">
      <c r="B424" s="60"/>
      <c r="C424" s="59"/>
      <c r="D424" s="59"/>
      <c r="E424" s="59"/>
      <c r="F424" s="139" t="s">
        <v>176</v>
      </c>
      <c r="G424" s="105">
        <v>415</v>
      </c>
      <c r="H424" s="57">
        <v>605</v>
      </c>
      <c r="I424" s="57">
        <v>887</v>
      </c>
      <c r="J424" s="57">
        <v>1019.43</v>
      </c>
      <c r="K424" s="57">
        <v>2124.1999999999998</v>
      </c>
      <c r="L424" s="57">
        <v>1300</v>
      </c>
      <c r="M424" s="57">
        <v>1000</v>
      </c>
      <c r="N424" s="57">
        <v>1000</v>
      </c>
    </row>
    <row r="425" spans="2:15" x14ac:dyDescent="0.2">
      <c r="B425" s="60"/>
      <c r="C425" s="59"/>
      <c r="D425" s="59"/>
      <c r="E425" s="59"/>
      <c r="F425" s="139" t="s">
        <v>189</v>
      </c>
      <c r="G425" s="105">
        <v>5698</v>
      </c>
      <c r="H425" s="57">
        <v>6092</v>
      </c>
      <c r="I425" s="57">
        <v>8318</v>
      </c>
      <c r="J425" s="57">
        <v>9061.89</v>
      </c>
      <c r="K425" s="57">
        <v>13067.62</v>
      </c>
      <c r="L425" s="57">
        <v>8000</v>
      </c>
      <c r="M425" s="57">
        <v>7500</v>
      </c>
      <c r="N425" s="57">
        <v>8000</v>
      </c>
    </row>
    <row r="426" spans="2:15" x14ac:dyDescent="0.2">
      <c r="B426" s="60"/>
      <c r="C426" s="59"/>
      <c r="D426" s="268" t="s">
        <v>366</v>
      </c>
      <c r="E426" s="269"/>
      <c r="F426" s="269"/>
      <c r="G426" s="70">
        <f>G427+G431+G433</f>
        <v>117721</v>
      </c>
      <c r="H426" s="70">
        <f t="shared" ref="H426:M426" si="163">H427+H431+H433</f>
        <v>206393</v>
      </c>
      <c r="I426" s="70">
        <f t="shared" si="163"/>
        <v>276847</v>
      </c>
      <c r="J426" s="70">
        <f t="shared" si="163"/>
        <v>473697.23000000004</v>
      </c>
      <c r="K426" s="70">
        <f t="shared" si="163"/>
        <v>494613.04000000004</v>
      </c>
      <c r="L426" s="70">
        <f t="shared" si="163"/>
        <v>898875</v>
      </c>
      <c r="M426" s="70">
        <f t="shared" si="163"/>
        <v>577399</v>
      </c>
      <c r="N426" s="70">
        <f>N427+N431+N433</f>
        <v>841100</v>
      </c>
    </row>
    <row r="427" spans="2:15" x14ac:dyDescent="0.2">
      <c r="B427" s="60"/>
      <c r="C427" s="59"/>
      <c r="D427" s="59"/>
      <c r="E427" s="263" t="s">
        <v>159</v>
      </c>
      <c r="F427" s="263"/>
      <c r="G427" s="66">
        <f>SUM(G428:G430)</f>
        <v>110969</v>
      </c>
      <c r="H427" s="66">
        <f t="shared" ref="H427:N427" si="164">SUM(H428:H430)</f>
        <v>200163</v>
      </c>
      <c r="I427" s="66">
        <f t="shared" si="164"/>
        <v>265579</v>
      </c>
      <c r="J427" s="66">
        <f t="shared" si="164"/>
        <v>455532.23000000004</v>
      </c>
      <c r="K427" s="66">
        <f t="shared" si="164"/>
        <v>479081.97000000003</v>
      </c>
      <c r="L427" s="66">
        <f t="shared" si="164"/>
        <v>768470</v>
      </c>
      <c r="M427" s="66">
        <f t="shared" si="164"/>
        <v>533472</v>
      </c>
      <c r="N427" s="66">
        <f t="shared" si="164"/>
        <v>728145</v>
      </c>
    </row>
    <row r="428" spans="2:15" x14ac:dyDescent="0.2">
      <c r="B428" s="60"/>
      <c r="C428" s="59"/>
      <c r="D428" s="59"/>
      <c r="E428" s="59"/>
      <c r="F428" s="139" t="s">
        <v>160</v>
      </c>
      <c r="G428" s="105">
        <v>103496</v>
      </c>
      <c r="H428" s="57">
        <v>162399</v>
      </c>
      <c r="I428" s="57">
        <v>173493</v>
      </c>
      <c r="J428" s="57">
        <v>336395.09</v>
      </c>
      <c r="K428" s="57">
        <v>385653.84</v>
      </c>
      <c r="L428" s="57">
        <v>456128</v>
      </c>
      <c r="M428" s="57">
        <v>283472</v>
      </c>
      <c r="N428" s="57">
        <v>453145</v>
      </c>
    </row>
    <row r="429" spans="2:15" x14ac:dyDescent="0.2">
      <c r="B429" s="60"/>
      <c r="C429" s="59"/>
      <c r="D429" s="59"/>
      <c r="E429" s="59"/>
      <c r="F429" s="139" t="s">
        <v>161</v>
      </c>
      <c r="G429" s="105">
        <v>5719</v>
      </c>
      <c r="H429" s="57">
        <v>37764</v>
      </c>
      <c r="I429" s="57">
        <v>90770</v>
      </c>
      <c r="J429" s="57">
        <v>119137.14</v>
      </c>
      <c r="K429" s="57">
        <v>93428.13</v>
      </c>
      <c r="L429" s="57">
        <v>312342</v>
      </c>
      <c r="M429" s="57">
        <v>250000</v>
      </c>
      <c r="N429" s="57">
        <v>275000</v>
      </c>
    </row>
    <row r="430" spans="2:15" x14ac:dyDescent="0.2">
      <c r="B430" s="60"/>
      <c r="C430" s="59"/>
      <c r="D430" s="59"/>
      <c r="E430" s="59"/>
      <c r="F430" s="139" t="s">
        <v>172</v>
      </c>
      <c r="G430" s="105">
        <v>1754</v>
      </c>
      <c r="H430" s="57">
        <v>0</v>
      </c>
      <c r="I430" s="57">
        <v>1316</v>
      </c>
      <c r="J430" s="57">
        <v>0</v>
      </c>
      <c r="K430" s="57">
        <v>0</v>
      </c>
      <c r="L430" s="57">
        <v>0</v>
      </c>
      <c r="M430" s="57">
        <v>0</v>
      </c>
      <c r="N430" s="57">
        <v>0</v>
      </c>
    </row>
    <row r="431" spans="2:15" x14ac:dyDescent="0.2">
      <c r="B431" s="60"/>
      <c r="C431" s="59"/>
      <c r="D431" s="59"/>
      <c r="E431" s="261" t="s">
        <v>181</v>
      </c>
      <c r="F431" s="261"/>
      <c r="G431" s="64">
        <f>G432</f>
        <v>0</v>
      </c>
      <c r="H431" s="64">
        <f t="shared" ref="H431:N431" si="165">H432</f>
        <v>0</v>
      </c>
      <c r="I431" s="64">
        <f t="shared" si="165"/>
        <v>0</v>
      </c>
      <c r="J431" s="64">
        <f t="shared" si="165"/>
        <v>5079.87</v>
      </c>
      <c r="K431" s="64">
        <f t="shared" si="165"/>
        <v>0</v>
      </c>
      <c r="L431" s="64">
        <f t="shared" si="165"/>
        <v>0</v>
      </c>
      <c r="M431" s="64">
        <f t="shared" si="165"/>
        <v>0</v>
      </c>
      <c r="N431" s="64">
        <f t="shared" si="165"/>
        <v>0</v>
      </c>
    </row>
    <row r="432" spans="2:15" x14ac:dyDescent="0.2">
      <c r="B432" s="60"/>
      <c r="C432" s="59"/>
      <c r="D432" s="59"/>
      <c r="E432" s="59"/>
      <c r="F432" s="136" t="s">
        <v>163</v>
      </c>
      <c r="G432" s="105">
        <v>0</v>
      </c>
      <c r="H432" s="57">
        <v>0</v>
      </c>
      <c r="I432" s="57">
        <v>0</v>
      </c>
      <c r="J432" s="57">
        <v>5079.87</v>
      </c>
      <c r="K432" s="57">
        <v>0</v>
      </c>
      <c r="L432" s="57">
        <v>0</v>
      </c>
      <c r="M432" s="57">
        <v>0</v>
      </c>
      <c r="N432" s="57">
        <v>0</v>
      </c>
    </row>
    <row r="433" spans="2:14" x14ac:dyDescent="0.2">
      <c r="B433" s="60"/>
      <c r="C433" s="59"/>
      <c r="D433" s="59"/>
      <c r="E433" s="261" t="s">
        <v>170</v>
      </c>
      <c r="F433" s="261"/>
      <c r="G433" s="67">
        <f>SUM(G434:G437)</f>
        <v>6752</v>
      </c>
      <c r="H433" s="67">
        <f t="shared" ref="H433:K433" si="166">SUM(H434:H437)</f>
        <v>6230</v>
      </c>
      <c r="I433" s="67">
        <f t="shared" si="166"/>
        <v>11268</v>
      </c>
      <c r="J433" s="67">
        <f t="shared" si="166"/>
        <v>13085.13</v>
      </c>
      <c r="K433" s="67">
        <f t="shared" si="166"/>
        <v>15531.07</v>
      </c>
      <c r="L433" s="67">
        <f>SUM(L434:L437)</f>
        <v>130405</v>
      </c>
      <c r="M433" s="67">
        <f t="shared" ref="M433" si="167">SUM(M434:M437)</f>
        <v>43927</v>
      </c>
      <c r="N433" s="67">
        <f t="shared" ref="N433" si="168">SUM(N434:N437)</f>
        <v>112955</v>
      </c>
    </row>
    <row r="434" spans="2:14" x14ac:dyDescent="0.2">
      <c r="B434" s="60"/>
      <c r="C434" s="59"/>
      <c r="D434" s="59"/>
      <c r="E434" s="59"/>
      <c r="F434" s="139" t="s">
        <v>165</v>
      </c>
      <c r="G434" s="105">
        <v>6207</v>
      </c>
      <c r="H434" s="57">
        <v>5644</v>
      </c>
      <c r="I434" s="57">
        <v>10312</v>
      </c>
      <c r="J434" s="57">
        <f>9844.46+1539.3</f>
        <v>11383.759999999998</v>
      </c>
      <c r="K434" s="57">
        <v>9061.75</v>
      </c>
      <c r="L434" s="57">
        <v>15780</v>
      </c>
      <c r="M434" s="57">
        <v>17252</v>
      </c>
      <c r="N434" s="57">
        <v>17680</v>
      </c>
    </row>
    <row r="435" spans="2:14" x14ac:dyDescent="0.2">
      <c r="B435" s="60"/>
      <c r="C435" s="59"/>
      <c r="D435" s="59"/>
      <c r="E435" s="59"/>
      <c r="F435" s="139" t="s">
        <v>166</v>
      </c>
      <c r="G435" s="105">
        <v>0</v>
      </c>
      <c r="H435" s="57">
        <v>0</v>
      </c>
      <c r="I435" s="57">
        <v>0</v>
      </c>
      <c r="J435" s="57">
        <v>49</v>
      </c>
      <c r="K435" s="57">
        <v>2806.71</v>
      </c>
      <c r="L435" s="57">
        <v>25500</v>
      </c>
      <c r="M435" s="57">
        <v>18500</v>
      </c>
      <c r="N435" s="57">
        <v>5500</v>
      </c>
    </row>
    <row r="436" spans="2:14" x14ac:dyDescent="0.2">
      <c r="B436" s="60"/>
      <c r="C436" s="59"/>
      <c r="D436" s="59"/>
      <c r="E436" s="59"/>
      <c r="F436" s="139" t="s">
        <v>168</v>
      </c>
      <c r="G436" s="105">
        <v>545</v>
      </c>
      <c r="H436" s="57">
        <v>586</v>
      </c>
      <c r="I436" s="57">
        <v>956</v>
      </c>
      <c r="J436" s="57">
        <f>854.95+786.21+11.21</f>
        <v>1652.3700000000001</v>
      </c>
      <c r="K436" s="57">
        <v>3662.61</v>
      </c>
      <c r="L436" s="57">
        <v>9125</v>
      </c>
      <c r="M436" s="57">
        <v>8175</v>
      </c>
      <c r="N436" s="57">
        <v>9775</v>
      </c>
    </row>
    <row r="437" spans="2:14" x14ac:dyDescent="0.2">
      <c r="B437" s="60"/>
      <c r="C437" s="59"/>
      <c r="D437" s="59"/>
      <c r="E437" s="59"/>
      <c r="F437" s="139" t="s">
        <v>189</v>
      </c>
      <c r="G437" s="105">
        <v>0</v>
      </c>
      <c r="H437" s="57">
        <v>0</v>
      </c>
      <c r="I437" s="57">
        <v>0</v>
      </c>
      <c r="J437" s="57">
        <v>0</v>
      </c>
      <c r="K437" s="57">
        <v>0</v>
      </c>
      <c r="L437" s="57">
        <v>80000</v>
      </c>
      <c r="M437" s="57">
        <v>0</v>
      </c>
      <c r="N437" s="57">
        <v>80000</v>
      </c>
    </row>
    <row r="438" spans="2:14" x14ac:dyDescent="0.2">
      <c r="B438" s="60"/>
      <c r="C438" s="270" t="s">
        <v>194</v>
      </c>
      <c r="D438" s="270"/>
      <c r="E438" s="270"/>
      <c r="F438" s="270"/>
      <c r="G438" s="64">
        <f>G439+G451+G458+G479</f>
        <v>3724207</v>
      </c>
      <c r="H438" s="64">
        <f t="shared" ref="H438:N438" si="169">H439+H451+H458+H479</f>
        <v>4054171</v>
      </c>
      <c r="I438" s="64">
        <f t="shared" si="169"/>
        <v>4475776</v>
      </c>
      <c r="J438" s="64">
        <f t="shared" si="169"/>
        <v>5815054.1299999999</v>
      </c>
      <c r="K438" s="64">
        <f t="shared" si="169"/>
        <v>6821015.5399999991</v>
      </c>
      <c r="L438" s="64">
        <f t="shared" si="169"/>
        <v>7486514</v>
      </c>
      <c r="M438" s="64">
        <f t="shared" si="169"/>
        <v>7462211</v>
      </c>
      <c r="N438" s="64">
        <f t="shared" si="169"/>
        <v>7659904</v>
      </c>
    </row>
    <row r="439" spans="2:14" x14ac:dyDescent="0.2">
      <c r="B439" s="60"/>
      <c r="C439" s="59"/>
      <c r="D439" s="261" t="s">
        <v>367</v>
      </c>
      <c r="E439" s="273"/>
      <c r="F439" s="273"/>
      <c r="G439" s="70">
        <f>G440+G444</f>
        <v>422281</v>
      </c>
      <c r="H439" s="70">
        <f t="shared" ref="H439:K439" si="170">H440+H444</f>
        <v>474005</v>
      </c>
      <c r="I439" s="70">
        <f t="shared" si="170"/>
        <v>431685</v>
      </c>
      <c r="J439" s="70">
        <f t="shared" si="170"/>
        <v>1523115.09</v>
      </c>
      <c r="K439" s="70">
        <f t="shared" si="170"/>
        <v>1871265.94</v>
      </c>
      <c r="L439" s="70">
        <f>L440+L444</f>
        <v>1291824</v>
      </c>
      <c r="M439" s="70">
        <f t="shared" ref="M439" si="171">M440+M444</f>
        <v>1458633</v>
      </c>
      <c r="N439" s="70">
        <f t="shared" ref="N439" si="172">N440+N444</f>
        <v>1306936</v>
      </c>
    </row>
    <row r="440" spans="2:14" x14ac:dyDescent="0.2">
      <c r="B440" s="60"/>
      <c r="C440" s="59"/>
      <c r="D440" s="59"/>
      <c r="E440" s="263" t="s">
        <v>159</v>
      </c>
      <c r="F440" s="263"/>
      <c r="G440" s="66">
        <f>SUM(G441:G443)</f>
        <v>9940</v>
      </c>
      <c r="H440" s="66">
        <f t="shared" ref="H440:K440" si="173">SUM(H441:H443)</f>
        <v>80075</v>
      </c>
      <c r="I440" s="66">
        <f t="shared" si="173"/>
        <v>91695</v>
      </c>
      <c r="J440" s="66">
        <f t="shared" si="173"/>
        <v>113284.41</v>
      </c>
      <c r="K440" s="66">
        <f t="shared" si="173"/>
        <v>117988.52</v>
      </c>
      <c r="L440" s="66">
        <f>SUM(L441:L443)</f>
        <v>14422</v>
      </c>
      <c r="M440" s="66">
        <f t="shared" ref="M440" si="174">SUM(M441:M443)</f>
        <v>20461</v>
      </c>
      <c r="N440" s="66">
        <f t="shared" ref="N440" si="175">SUM(N441:N443)</f>
        <v>72209</v>
      </c>
    </row>
    <row r="441" spans="2:14" x14ac:dyDescent="0.2">
      <c r="B441" s="60"/>
      <c r="C441" s="59"/>
      <c r="D441" s="59"/>
      <c r="E441" s="59"/>
      <c r="F441" s="139" t="s">
        <v>160</v>
      </c>
      <c r="G441" s="105">
        <v>89844</v>
      </c>
      <c r="H441" s="57">
        <v>90719</v>
      </c>
      <c r="I441" s="57">
        <v>95012</v>
      </c>
      <c r="J441" s="57">
        <v>113284.41</v>
      </c>
      <c r="K441" s="57">
        <v>120488.52</v>
      </c>
      <c r="L441" s="57">
        <v>122248</v>
      </c>
      <c r="M441" s="57">
        <v>127066</v>
      </c>
      <c r="N441" s="57">
        <v>185189</v>
      </c>
    </row>
    <row r="442" spans="2:14" x14ac:dyDescent="0.2">
      <c r="B442" s="60"/>
      <c r="C442" s="59"/>
      <c r="D442" s="59"/>
      <c r="E442" s="59"/>
      <c r="F442" s="139" t="s">
        <v>173</v>
      </c>
      <c r="G442" s="105">
        <v>-79904</v>
      </c>
      <c r="H442" s="57">
        <v>-10644</v>
      </c>
      <c r="I442" s="57">
        <v>-3317</v>
      </c>
      <c r="J442" s="57">
        <v>0</v>
      </c>
      <c r="K442" s="57">
        <v>0</v>
      </c>
      <c r="L442" s="57">
        <v>-107826</v>
      </c>
      <c r="M442" s="57">
        <v>-106605</v>
      </c>
      <c r="N442" s="57">
        <v>-112980</v>
      </c>
    </row>
    <row r="443" spans="2:14" x14ac:dyDescent="0.2">
      <c r="B443" s="60"/>
      <c r="C443" s="59"/>
      <c r="D443" s="59"/>
      <c r="E443" s="59"/>
      <c r="F443" s="139" t="s">
        <v>174</v>
      </c>
      <c r="G443" s="105">
        <v>0</v>
      </c>
      <c r="H443" s="57">
        <v>0</v>
      </c>
      <c r="I443" s="57">
        <v>0</v>
      </c>
      <c r="J443" s="57">
        <v>0</v>
      </c>
      <c r="K443" s="57">
        <v>-2500</v>
      </c>
      <c r="L443" s="57">
        <v>0</v>
      </c>
      <c r="M443" s="57">
        <v>0</v>
      </c>
      <c r="N443" s="57">
        <v>0</v>
      </c>
    </row>
    <row r="444" spans="2:14" x14ac:dyDescent="0.2">
      <c r="B444" s="60"/>
      <c r="C444" s="59"/>
      <c r="D444" s="59"/>
      <c r="E444" s="261" t="s">
        <v>170</v>
      </c>
      <c r="F444" s="261"/>
      <c r="G444" s="67">
        <f>SUM(G445:G450)</f>
        <v>412341</v>
      </c>
      <c r="H444" s="67">
        <f t="shared" ref="H444:N444" si="176">SUM(H445:H450)</f>
        <v>393930</v>
      </c>
      <c r="I444" s="67">
        <f t="shared" si="176"/>
        <v>339990</v>
      </c>
      <c r="J444" s="67">
        <f t="shared" si="176"/>
        <v>1409830.6800000002</v>
      </c>
      <c r="K444" s="67">
        <f t="shared" si="176"/>
        <v>1753277.42</v>
      </c>
      <c r="L444" s="67">
        <f t="shared" si="176"/>
        <v>1277402</v>
      </c>
      <c r="M444" s="67">
        <f t="shared" si="176"/>
        <v>1438172</v>
      </c>
      <c r="N444" s="67">
        <f t="shared" si="176"/>
        <v>1234727</v>
      </c>
    </row>
    <row r="445" spans="2:14" x14ac:dyDescent="0.2">
      <c r="B445" s="60"/>
      <c r="C445" s="59"/>
      <c r="D445" s="59"/>
      <c r="E445" s="59"/>
      <c r="F445" s="139" t="s">
        <v>165</v>
      </c>
      <c r="G445" s="105">
        <v>0</v>
      </c>
      <c r="H445" s="57">
        <v>0</v>
      </c>
      <c r="I445" s="57">
        <v>2289</v>
      </c>
      <c r="J445" s="57">
        <f>592.2+2126.67</f>
        <v>2718.87</v>
      </c>
      <c r="K445" s="57">
        <v>4751</v>
      </c>
      <c r="L445" s="57">
        <v>9300</v>
      </c>
      <c r="M445" s="57">
        <v>4635</v>
      </c>
      <c r="N445" s="57">
        <v>9300</v>
      </c>
    </row>
    <row r="446" spans="2:14" x14ac:dyDescent="0.2">
      <c r="B446" s="60"/>
      <c r="C446" s="59"/>
      <c r="D446" s="59"/>
      <c r="E446" s="59"/>
      <c r="F446" s="139" t="s">
        <v>166</v>
      </c>
      <c r="G446" s="105">
        <v>0</v>
      </c>
      <c r="H446" s="57">
        <v>0</v>
      </c>
      <c r="I446" s="57">
        <v>0</v>
      </c>
      <c r="J446" s="57">
        <f>1120</f>
        <v>1120</v>
      </c>
      <c r="K446" s="57">
        <v>32368.42</v>
      </c>
      <c r="L446" s="57">
        <v>35200</v>
      </c>
      <c r="M446" s="57">
        <v>35020</v>
      </c>
      <c r="N446" s="57">
        <v>35200</v>
      </c>
    </row>
    <row r="447" spans="2:14" x14ac:dyDescent="0.2">
      <c r="B447" s="60"/>
      <c r="C447" s="59"/>
      <c r="D447" s="59"/>
      <c r="E447" s="59"/>
      <c r="F447" s="139" t="s">
        <v>167</v>
      </c>
      <c r="G447" s="105">
        <v>571922</v>
      </c>
      <c r="H447" s="57">
        <v>440025</v>
      </c>
      <c r="I447" s="57">
        <v>176437</v>
      </c>
      <c r="J447" s="57">
        <v>150000</v>
      </c>
      <c r="K447" s="57">
        <v>150000</v>
      </c>
      <c r="L447" s="57">
        <v>150000</v>
      </c>
      <c r="M447" s="57">
        <v>150000</v>
      </c>
      <c r="N447" s="57">
        <v>150000</v>
      </c>
    </row>
    <row r="448" spans="2:14" x14ac:dyDescent="0.2">
      <c r="B448" s="60"/>
      <c r="C448" s="59"/>
      <c r="D448" s="59"/>
      <c r="E448" s="59"/>
      <c r="F448" s="139" t="s">
        <v>168</v>
      </c>
      <c r="G448" s="105">
        <v>165</v>
      </c>
      <c r="H448" s="57">
        <v>433</v>
      </c>
      <c r="I448" s="57">
        <v>6011</v>
      </c>
      <c r="J448" s="57">
        <f>5888.41</f>
        <v>5888.41</v>
      </c>
      <c r="K448" s="57">
        <v>32454</v>
      </c>
      <c r="L448" s="57">
        <v>24900</v>
      </c>
      <c r="M448" s="57">
        <v>3024</v>
      </c>
      <c r="N448" s="57">
        <v>24900</v>
      </c>
    </row>
    <row r="449" spans="2:14" x14ac:dyDescent="0.2">
      <c r="B449" s="60"/>
      <c r="C449" s="59"/>
      <c r="D449" s="59"/>
      <c r="E449" s="59"/>
      <c r="F449" s="139" t="s">
        <v>175</v>
      </c>
      <c r="G449" s="105">
        <v>0</v>
      </c>
      <c r="H449" s="57">
        <v>0</v>
      </c>
      <c r="I449" s="57">
        <v>459244</v>
      </c>
      <c r="J449" s="57">
        <v>1441124.81</v>
      </c>
      <c r="K449" s="57">
        <v>1533704</v>
      </c>
      <c r="L449" s="57">
        <v>1058002</v>
      </c>
      <c r="M449" s="57">
        <v>1245493</v>
      </c>
      <c r="N449" s="57">
        <v>1015327</v>
      </c>
    </row>
    <row r="450" spans="2:14" x14ac:dyDescent="0.2">
      <c r="B450" s="60"/>
      <c r="C450" s="59"/>
      <c r="D450" s="59"/>
      <c r="E450" s="59"/>
      <c r="F450" s="139" t="s">
        <v>177</v>
      </c>
      <c r="G450" s="105">
        <v>-159746</v>
      </c>
      <c r="H450" s="57">
        <v>-46528</v>
      </c>
      <c r="I450" s="57">
        <v>-303991</v>
      </c>
      <c r="J450" s="57">
        <v>-191021.41</v>
      </c>
      <c r="K450" s="57">
        <v>0</v>
      </c>
      <c r="L450" s="57">
        <v>0</v>
      </c>
      <c r="M450" s="57">
        <v>0</v>
      </c>
      <c r="N450" s="57">
        <v>0</v>
      </c>
    </row>
    <row r="451" spans="2:14" x14ac:dyDescent="0.2">
      <c r="B451" s="60"/>
      <c r="C451" s="59"/>
      <c r="D451" s="261" t="s">
        <v>195</v>
      </c>
      <c r="E451" s="273"/>
      <c r="F451" s="273"/>
      <c r="G451" s="70">
        <f>G452+G454</f>
        <v>115243</v>
      </c>
      <c r="H451" s="70">
        <f t="shared" ref="H451:N451" si="177">H452+H454</f>
        <v>0</v>
      </c>
      <c r="I451" s="70">
        <f t="shared" si="177"/>
        <v>0</v>
      </c>
      <c r="J451" s="70">
        <f t="shared" si="177"/>
        <v>0</v>
      </c>
      <c r="K451" s="70">
        <f t="shared" si="177"/>
        <v>0</v>
      </c>
      <c r="L451" s="70">
        <f t="shared" si="177"/>
        <v>0</v>
      </c>
      <c r="M451" s="70">
        <f t="shared" si="177"/>
        <v>0</v>
      </c>
      <c r="N451" s="70">
        <f t="shared" si="177"/>
        <v>0</v>
      </c>
    </row>
    <row r="452" spans="2:14" x14ac:dyDescent="0.2">
      <c r="B452" s="60"/>
      <c r="C452" s="59"/>
      <c r="D452" s="59"/>
      <c r="E452" s="263" t="s">
        <v>159</v>
      </c>
      <c r="F452" s="263"/>
      <c r="G452" s="66">
        <f>G453</f>
        <v>0</v>
      </c>
      <c r="H452" s="66">
        <f t="shared" ref="H452:N452" si="178">H453</f>
        <v>0</v>
      </c>
      <c r="I452" s="66">
        <f t="shared" si="178"/>
        <v>0</v>
      </c>
      <c r="J452" s="66">
        <f t="shared" si="178"/>
        <v>0</v>
      </c>
      <c r="K452" s="66">
        <f t="shared" si="178"/>
        <v>0</v>
      </c>
      <c r="L452" s="66">
        <f t="shared" si="178"/>
        <v>0</v>
      </c>
      <c r="M452" s="66">
        <f t="shared" si="178"/>
        <v>0</v>
      </c>
      <c r="N452" s="66">
        <f t="shared" si="178"/>
        <v>0</v>
      </c>
    </row>
    <row r="453" spans="2:14" x14ac:dyDescent="0.2">
      <c r="B453" s="60"/>
      <c r="C453" s="59"/>
      <c r="D453" s="59"/>
      <c r="E453" s="59"/>
      <c r="F453" s="139" t="s">
        <v>161</v>
      </c>
      <c r="G453" s="105">
        <v>0</v>
      </c>
      <c r="H453" s="57">
        <v>0</v>
      </c>
      <c r="I453" s="57">
        <v>0</v>
      </c>
      <c r="J453" s="57">
        <v>0</v>
      </c>
      <c r="K453" s="57">
        <v>0</v>
      </c>
      <c r="L453" s="57">
        <v>0</v>
      </c>
      <c r="M453" s="57">
        <v>0</v>
      </c>
      <c r="N453" s="57">
        <v>0</v>
      </c>
    </row>
    <row r="454" spans="2:14" x14ac:dyDescent="0.2">
      <c r="B454" s="60"/>
      <c r="C454" s="59"/>
      <c r="D454" s="59"/>
      <c r="E454" s="261" t="s">
        <v>170</v>
      </c>
      <c r="F454" s="261"/>
      <c r="G454" s="67">
        <f>SUM(G455:G457)</f>
        <v>115243</v>
      </c>
      <c r="H454" s="67">
        <f t="shared" ref="H454:N454" si="179">SUM(H455:H457)</f>
        <v>0</v>
      </c>
      <c r="I454" s="67">
        <f t="shared" si="179"/>
        <v>0</v>
      </c>
      <c r="J454" s="67">
        <f t="shared" si="179"/>
        <v>0</v>
      </c>
      <c r="K454" s="67">
        <f t="shared" si="179"/>
        <v>0</v>
      </c>
      <c r="L454" s="67">
        <f t="shared" si="179"/>
        <v>0</v>
      </c>
      <c r="M454" s="67">
        <f t="shared" si="179"/>
        <v>0</v>
      </c>
      <c r="N454" s="67">
        <f t="shared" si="179"/>
        <v>0</v>
      </c>
    </row>
    <row r="455" spans="2:14" x14ac:dyDescent="0.2">
      <c r="B455" s="60"/>
      <c r="C455" s="59"/>
      <c r="D455" s="59"/>
      <c r="E455" s="59"/>
      <c r="F455" s="139" t="s">
        <v>165</v>
      </c>
      <c r="G455" s="105">
        <v>0</v>
      </c>
      <c r="H455" s="105">
        <v>0</v>
      </c>
      <c r="I455" s="105">
        <v>0</v>
      </c>
      <c r="J455" s="105">
        <v>0</v>
      </c>
      <c r="K455" s="57">
        <v>0</v>
      </c>
      <c r="L455" s="57">
        <v>0</v>
      </c>
      <c r="M455" s="105">
        <v>0</v>
      </c>
      <c r="N455" s="57">
        <v>0</v>
      </c>
    </row>
    <row r="456" spans="2:14" x14ac:dyDescent="0.2">
      <c r="B456" s="60"/>
      <c r="C456" s="59"/>
      <c r="D456" s="59"/>
      <c r="E456" s="59"/>
      <c r="F456" s="139" t="s">
        <v>167</v>
      </c>
      <c r="G456" s="105">
        <v>115243</v>
      </c>
      <c r="H456" s="57">
        <v>0</v>
      </c>
      <c r="I456" s="57">
        <v>0</v>
      </c>
      <c r="J456" s="57">
        <v>0</v>
      </c>
      <c r="K456" s="57">
        <v>0</v>
      </c>
      <c r="L456" s="57">
        <v>0</v>
      </c>
      <c r="M456" s="57">
        <v>0</v>
      </c>
      <c r="N456" s="57">
        <v>0</v>
      </c>
    </row>
    <row r="457" spans="2:14" x14ac:dyDescent="0.2">
      <c r="B457" s="60"/>
      <c r="C457" s="59"/>
      <c r="D457" s="59"/>
      <c r="E457" s="59"/>
      <c r="F457" s="139" t="s">
        <v>168</v>
      </c>
      <c r="G457" s="105">
        <v>0</v>
      </c>
      <c r="H457" s="105">
        <v>0</v>
      </c>
      <c r="I457" s="105">
        <v>0</v>
      </c>
      <c r="J457" s="105">
        <v>0</v>
      </c>
      <c r="K457" s="57">
        <v>0</v>
      </c>
      <c r="L457" s="57">
        <v>0</v>
      </c>
      <c r="M457" s="105">
        <v>0</v>
      </c>
      <c r="N457" s="57">
        <v>0</v>
      </c>
    </row>
    <row r="458" spans="2:14" x14ac:dyDescent="0.2">
      <c r="B458" s="60"/>
      <c r="C458" s="59"/>
      <c r="D458" s="261" t="s">
        <v>368</v>
      </c>
      <c r="E458" s="273"/>
      <c r="F458" s="273"/>
      <c r="G458" s="73">
        <f>G459+G468+G471</f>
        <v>3186683</v>
      </c>
      <c r="H458" s="73">
        <f t="shared" ref="H458:K458" si="180">H459+H468+H471</f>
        <v>3580166</v>
      </c>
      <c r="I458" s="73">
        <f t="shared" si="180"/>
        <v>4044091</v>
      </c>
      <c r="J458" s="73">
        <f t="shared" si="180"/>
        <v>4225840.6500000004</v>
      </c>
      <c r="K458" s="73">
        <f t="shared" si="180"/>
        <v>4825547.5999999996</v>
      </c>
      <c r="L458" s="73">
        <f>L459+L468+L471</f>
        <v>5805952</v>
      </c>
      <c r="M458" s="73">
        <f t="shared" ref="M458" si="181">M459+M468+M471</f>
        <v>5608359</v>
      </c>
      <c r="N458" s="73">
        <f t="shared" ref="N458" si="182">N459+N468+N471</f>
        <v>5964230</v>
      </c>
    </row>
    <row r="459" spans="2:14" x14ac:dyDescent="0.2">
      <c r="B459" s="60"/>
      <c r="C459" s="59"/>
      <c r="D459" s="59"/>
      <c r="E459" s="263" t="s">
        <v>159</v>
      </c>
      <c r="F459" s="263"/>
      <c r="G459" s="66">
        <f>SUM(G460:G467)</f>
        <v>1717826</v>
      </c>
      <c r="H459" s="66">
        <f t="shared" ref="H459:J459" si="183">SUM(H460:H467)</f>
        <v>1942754</v>
      </c>
      <c r="I459" s="66">
        <f t="shared" si="183"/>
        <v>2345460</v>
      </c>
      <c r="J459" s="66">
        <f t="shared" si="183"/>
        <v>2462550.77</v>
      </c>
      <c r="K459" s="66">
        <f>SUM(K460:K467)</f>
        <v>2425025.5199999996</v>
      </c>
      <c r="L459" s="66">
        <f t="shared" ref="L459" si="184">SUM(L460:L467)</f>
        <v>2843845</v>
      </c>
      <c r="M459" s="66">
        <f t="shared" ref="M459" si="185">SUM(M460:M467)</f>
        <v>2649823</v>
      </c>
      <c r="N459" s="66">
        <f t="shared" ref="N459" si="186">SUM(N460:N467)</f>
        <v>2873741</v>
      </c>
    </row>
    <row r="460" spans="2:14" x14ac:dyDescent="0.2">
      <c r="B460" s="60"/>
      <c r="C460" s="59"/>
      <c r="D460" s="59"/>
      <c r="E460" s="59"/>
      <c r="F460" s="139" t="s">
        <v>160</v>
      </c>
      <c r="G460" s="105">
        <v>1762089</v>
      </c>
      <c r="H460" s="57">
        <v>1870220</v>
      </c>
      <c r="I460" s="57">
        <v>2254117</v>
      </c>
      <c r="J460" s="57">
        <v>2362215.33</v>
      </c>
      <c r="K460" s="57">
        <v>2315549.8199999998</v>
      </c>
      <c r="L460" s="57">
        <v>2695659</v>
      </c>
      <c r="M460" s="57">
        <v>2528690</v>
      </c>
      <c r="N460" s="57">
        <v>2760555</v>
      </c>
    </row>
    <row r="461" spans="2:14" x14ac:dyDescent="0.2">
      <c r="B461" s="60"/>
      <c r="C461" s="59"/>
      <c r="D461" s="59"/>
      <c r="E461" s="59"/>
      <c r="F461" s="139" t="s">
        <v>161</v>
      </c>
      <c r="G461" s="105">
        <v>0</v>
      </c>
      <c r="H461" s="57">
        <v>15700</v>
      </c>
      <c r="I461" s="57">
        <v>15902</v>
      </c>
      <c r="J461" s="57">
        <v>15532.65</v>
      </c>
      <c r="K461" s="57">
        <v>24270.38</v>
      </c>
      <c r="L461" s="57">
        <v>59936</v>
      </c>
      <c r="M461" s="57">
        <v>34936</v>
      </c>
      <c r="N461" s="57">
        <v>24936</v>
      </c>
    </row>
    <row r="462" spans="2:14" x14ac:dyDescent="0.2">
      <c r="B462" s="60"/>
      <c r="C462" s="59"/>
      <c r="D462" s="59"/>
      <c r="E462" s="59"/>
      <c r="F462" s="139" t="s">
        <v>179</v>
      </c>
      <c r="G462" s="105">
        <v>0</v>
      </c>
      <c r="H462" s="57">
        <v>991</v>
      </c>
      <c r="I462" s="57">
        <v>7922</v>
      </c>
      <c r="J462" s="57">
        <v>17025.060000000001</v>
      </c>
      <c r="K462" s="57">
        <v>20699</v>
      </c>
      <c r="L462" s="57">
        <v>16000</v>
      </c>
      <c r="M462" s="57">
        <v>13400</v>
      </c>
      <c r="N462" s="57">
        <v>16000</v>
      </c>
    </row>
    <row r="463" spans="2:14" x14ac:dyDescent="0.2">
      <c r="B463" s="60"/>
      <c r="C463" s="59"/>
      <c r="D463" s="59"/>
      <c r="E463" s="59"/>
      <c r="F463" s="139" t="s">
        <v>184</v>
      </c>
      <c r="G463" s="105">
        <v>49649</v>
      </c>
      <c r="H463" s="57">
        <v>55843</v>
      </c>
      <c r="I463" s="57">
        <v>60919</v>
      </c>
      <c r="J463" s="57">
        <v>56976.97</v>
      </c>
      <c r="K463" s="57">
        <v>60294.55</v>
      </c>
      <c r="L463" s="57">
        <v>65100</v>
      </c>
      <c r="M463" s="57">
        <v>65100</v>
      </c>
      <c r="N463" s="57">
        <v>65100</v>
      </c>
    </row>
    <row r="464" spans="2:14" x14ac:dyDescent="0.2">
      <c r="B464" s="60"/>
      <c r="C464" s="59"/>
      <c r="D464" s="59"/>
      <c r="E464" s="59"/>
      <c r="F464" s="139" t="s">
        <v>172</v>
      </c>
      <c r="G464" s="105">
        <v>0</v>
      </c>
      <c r="H464" s="57">
        <v>0</v>
      </c>
      <c r="I464" s="57">
        <v>0</v>
      </c>
      <c r="J464" s="57">
        <v>4200.76</v>
      </c>
      <c r="K464" s="57">
        <v>2646.77</v>
      </c>
      <c r="L464" s="57">
        <v>0</v>
      </c>
      <c r="M464" s="57">
        <v>1097</v>
      </c>
      <c r="N464" s="57">
        <v>0</v>
      </c>
    </row>
    <row r="465" spans="2:15" x14ac:dyDescent="0.2">
      <c r="B465" s="60"/>
      <c r="C465" s="59"/>
      <c r="D465" s="59"/>
      <c r="E465" s="59"/>
      <c r="F465" s="139" t="s">
        <v>196</v>
      </c>
      <c r="G465" s="105">
        <v>0</v>
      </c>
      <c r="H465" s="57">
        <v>0</v>
      </c>
      <c r="I465" s="57">
        <v>6600</v>
      </c>
      <c r="J465" s="57">
        <v>6600</v>
      </c>
      <c r="K465" s="57">
        <v>5645</v>
      </c>
      <c r="L465" s="57">
        <v>7150</v>
      </c>
      <c r="M465" s="57">
        <v>6600</v>
      </c>
      <c r="N465" s="57">
        <v>7150</v>
      </c>
    </row>
    <row r="466" spans="2:15" x14ac:dyDescent="0.2">
      <c r="B466" s="60"/>
      <c r="C466" s="59"/>
      <c r="D466" s="59"/>
      <c r="E466" s="59"/>
      <c r="F466" s="139" t="s">
        <v>173</v>
      </c>
      <c r="G466" s="105">
        <v>-46956</v>
      </c>
      <c r="H466" s="57">
        <v>0</v>
      </c>
      <c r="I466" s="57">
        <v>0</v>
      </c>
      <c r="J466" s="57">
        <v>0</v>
      </c>
      <c r="K466" s="57">
        <v>0</v>
      </c>
      <c r="L466" s="57">
        <v>0</v>
      </c>
      <c r="M466" s="57">
        <v>0</v>
      </c>
      <c r="N466" s="57">
        <v>0</v>
      </c>
    </row>
    <row r="467" spans="2:15" s="150" customFormat="1" x14ac:dyDescent="0.2">
      <c r="B467" s="151"/>
      <c r="C467" s="152"/>
      <c r="D467" s="152"/>
      <c r="E467" s="152"/>
      <c r="F467" s="153" t="s">
        <v>424</v>
      </c>
      <c r="G467" s="154">
        <v>-46956</v>
      </c>
      <c r="H467" s="155">
        <v>0</v>
      </c>
      <c r="I467" s="155">
        <v>0</v>
      </c>
      <c r="J467" s="155">
        <v>0</v>
      </c>
      <c r="K467" s="57">
        <v>-4080</v>
      </c>
      <c r="L467" s="57">
        <v>0</v>
      </c>
      <c r="M467" s="57">
        <v>0</v>
      </c>
      <c r="N467" s="57">
        <v>0</v>
      </c>
    </row>
    <row r="468" spans="2:15" x14ac:dyDescent="0.2">
      <c r="B468" s="60"/>
      <c r="C468" s="59"/>
      <c r="D468" s="59"/>
      <c r="E468" s="261" t="s">
        <v>181</v>
      </c>
      <c r="F468" s="261"/>
      <c r="G468" s="70">
        <f>SUM(G469:G470)</f>
        <v>0</v>
      </c>
      <c r="H468" s="70">
        <f t="shared" ref="H468:N468" si="187">SUM(H469:H470)</f>
        <v>0</v>
      </c>
      <c r="I468" s="70">
        <f t="shared" si="187"/>
        <v>411</v>
      </c>
      <c r="J468" s="70">
        <f t="shared" si="187"/>
        <v>13546.68</v>
      </c>
      <c r="K468" s="70">
        <f t="shared" si="187"/>
        <v>0</v>
      </c>
      <c r="L468" s="70">
        <f t="shared" si="187"/>
        <v>60000</v>
      </c>
      <c r="M468" s="70">
        <f t="shared" si="187"/>
        <v>0</v>
      </c>
      <c r="N468" s="70">
        <f t="shared" si="187"/>
        <v>0</v>
      </c>
    </row>
    <row r="469" spans="2:15" x14ac:dyDescent="0.2">
      <c r="B469" s="60"/>
      <c r="C469" s="59"/>
      <c r="D469" s="59"/>
      <c r="E469" s="59"/>
      <c r="F469" s="136" t="s">
        <v>163</v>
      </c>
      <c r="G469" s="105">
        <v>0</v>
      </c>
      <c r="H469" s="63">
        <v>0</v>
      </c>
      <c r="I469" s="63">
        <v>411</v>
      </c>
      <c r="J469" s="63">
        <v>13546.68</v>
      </c>
      <c r="K469" s="63">
        <v>0</v>
      </c>
      <c r="L469" s="63">
        <v>0</v>
      </c>
      <c r="M469" s="57">
        <v>0</v>
      </c>
      <c r="N469" s="63">
        <v>0</v>
      </c>
    </row>
    <row r="470" spans="2:15" x14ac:dyDescent="0.2">
      <c r="B470" s="60"/>
      <c r="C470" s="59"/>
      <c r="D470" s="59"/>
      <c r="E470" s="59"/>
      <c r="F470" s="139" t="s">
        <v>186</v>
      </c>
      <c r="G470" s="105">
        <v>0</v>
      </c>
      <c r="H470" s="57">
        <v>0</v>
      </c>
      <c r="I470" s="57">
        <v>0</v>
      </c>
      <c r="J470" s="57">
        <v>0</v>
      </c>
      <c r="K470" s="57">
        <v>0</v>
      </c>
      <c r="L470" s="57">
        <v>60000</v>
      </c>
      <c r="M470" s="57">
        <v>0</v>
      </c>
      <c r="N470" s="57">
        <v>0</v>
      </c>
    </row>
    <row r="471" spans="2:15" x14ac:dyDescent="0.2">
      <c r="B471" s="60"/>
      <c r="C471" s="59"/>
      <c r="D471" s="59"/>
      <c r="E471" s="262" t="s">
        <v>182</v>
      </c>
      <c r="F471" s="262"/>
      <c r="G471" s="70">
        <f>SUM(G472:G478)</f>
        <v>1468857</v>
      </c>
      <c r="H471" s="70">
        <f t="shared" ref="H471:N471" si="188">SUM(H472:H478)</f>
        <v>1637412</v>
      </c>
      <c r="I471" s="70">
        <f t="shared" si="188"/>
        <v>1698220</v>
      </c>
      <c r="J471" s="70">
        <f t="shared" si="188"/>
        <v>1749743.2</v>
      </c>
      <c r="K471" s="70">
        <f t="shared" si="188"/>
        <v>2400522.08</v>
      </c>
      <c r="L471" s="70">
        <f t="shared" si="188"/>
        <v>2902107</v>
      </c>
      <c r="M471" s="70">
        <f t="shared" si="188"/>
        <v>2958536</v>
      </c>
      <c r="N471" s="70">
        <f t="shared" si="188"/>
        <v>3090489</v>
      </c>
    </row>
    <row r="472" spans="2:15" x14ac:dyDescent="0.2">
      <c r="B472" s="60"/>
      <c r="C472" s="59"/>
      <c r="D472" s="59"/>
      <c r="E472" s="59"/>
      <c r="F472" s="139" t="s">
        <v>165</v>
      </c>
      <c r="G472" s="105">
        <v>14985</v>
      </c>
      <c r="H472" s="69">
        <v>16657</v>
      </c>
      <c r="I472" s="69">
        <v>18108</v>
      </c>
      <c r="J472" s="69">
        <f>15781.32+5810.55</f>
        <v>21591.87</v>
      </c>
      <c r="K472" s="69">
        <v>21353.130000000005</v>
      </c>
      <c r="L472" s="69">
        <v>25650</v>
      </c>
      <c r="M472" s="57">
        <v>19942</v>
      </c>
      <c r="N472" s="69">
        <v>25650</v>
      </c>
    </row>
    <row r="473" spans="2:15" x14ac:dyDescent="0.2">
      <c r="B473" s="60"/>
      <c r="C473" s="59"/>
      <c r="D473" s="59"/>
      <c r="E473" s="59"/>
      <c r="F473" s="139" t="s">
        <v>166</v>
      </c>
      <c r="G473" s="105">
        <v>343602</v>
      </c>
      <c r="H473" s="57">
        <v>338332</v>
      </c>
      <c r="I473" s="57">
        <v>309060</v>
      </c>
      <c r="J473" s="57">
        <f>1672.81+431.3+162.1+384087.55+703.6</f>
        <v>387057.36</v>
      </c>
      <c r="K473" s="57">
        <v>380319.20000000007</v>
      </c>
      <c r="L473" s="57">
        <v>507220</v>
      </c>
      <c r="M473" s="57">
        <v>449879</v>
      </c>
      <c r="N473" s="57">
        <v>430720</v>
      </c>
    </row>
    <row r="474" spans="2:15" x14ac:dyDescent="0.2">
      <c r="B474" s="60"/>
      <c r="C474" s="59"/>
      <c r="D474" s="59"/>
      <c r="E474" s="59"/>
      <c r="F474" s="139" t="s">
        <v>197</v>
      </c>
      <c r="G474" s="105">
        <v>2333</v>
      </c>
      <c r="H474" s="57">
        <v>1221</v>
      </c>
      <c r="I474" s="57">
        <v>1408</v>
      </c>
      <c r="J474" s="57">
        <f>578.96+1379.06</f>
        <v>1958.02</v>
      </c>
      <c r="K474" s="57">
        <v>1486</v>
      </c>
      <c r="L474" s="57">
        <v>3550</v>
      </c>
      <c r="M474" s="57">
        <v>1700</v>
      </c>
      <c r="N474" s="57">
        <v>3550</v>
      </c>
    </row>
    <row r="475" spans="2:15" x14ac:dyDescent="0.2">
      <c r="B475" s="60"/>
      <c r="C475" s="59"/>
      <c r="D475" s="59"/>
      <c r="E475" s="59"/>
      <c r="F475" s="139" t="s">
        <v>167</v>
      </c>
      <c r="G475" s="105">
        <v>1096839</v>
      </c>
      <c r="H475" s="57">
        <v>1259321</v>
      </c>
      <c r="I475" s="57">
        <v>12222</v>
      </c>
      <c r="J475" s="57">
        <v>5003.75</v>
      </c>
      <c r="K475" s="57">
        <v>280430</v>
      </c>
      <c r="L475" s="57">
        <v>295000</v>
      </c>
      <c r="M475" s="57">
        <v>314300</v>
      </c>
      <c r="N475" s="57">
        <v>545000</v>
      </c>
      <c r="O475" s="12" t="s">
        <v>539</v>
      </c>
    </row>
    <row r="476" spans="2:15" x14ac:dyDescent="0.2">
      <c r="B476" s="60"/>
      <c r="C476" s="59"/>
      <c r="D476" s="59"/>
      <c r="E476" s="59"/>
      <c r="F476" s="139" t="s">
        <v>168</v>
      </c>
      <c r="G476" s="105">
        <v>10798</v>
      </c>
      <c r="H476" s="57">
        <v>21881</v>
      </c>
      <c r="I476" s="57">
        <v>20722</v>
      </c>
      <c r="J476" s="57">
        <f>5435.63+9138.06+3432.5</f>
        <v>18006.189999999999</v>
      </c>
      <c r="K476" s="57">
        <v>39619.75</v>
      </c>
      <c r="L476" s="57">
        <v>49545</v>
      </c>
      <c r="M476" s="57">
        <v>48845</v>
      </c>
      <c r="N476" s="57">
        <v>49545</v>
      </c>
    </row>
    <row r="477" spans="2:15" x14ac:dyDescent="0.2">
      <c r="B477" s="60"/>
      <c r="C477" s="59"/>
      <c r="D477" s="59"/>
      <c r="E477" s="59"/>
      <c r="F477" s="139" t="s">
        <v>175</v>
      </c>
      <c r="G477" s="105">
        <v>0</v>
      </c>
      <c r="H477" s="57">
        <v>0</v>
      </c>
      <c r="I477" s="57">
        <v>1336378</v>
      </c>
      <c r="J477" s="57">
        <v>1315826.01</v>
      </c>
      <c r="K477" s="57">
        <v>1677114</v>
      </c>
      <c r="L477" s="57">
        <v>2020692</v>
      </c>
      <c r="M477" s="57">
        <v>2123460</v>
      </c>
      <c r="N477" s="57">
        <v>2035574</v>
      </c>
    </row>
    <row r="478" spans="2:15" x14ac:dyDescent="0.2">
      <c r="B478" s="60"/>
      <c r="C478" s="59"/>
      <c r="D478" s="59"/>
      <c r="E478" s="59"/>
      <c r="F478" s="139" t="s">
        <v>176</v>
      </c>
      <c r="G478" s="105">
        <v>300</v>
      </c>
      <c r="H478" s="57">
        <v>0</v>
      </c>
      <c r="I478" s="57">
        <v>322</v>
      </c>
      <c r="J478" s="57">
        <v>300</v>
      </c>
      <c r="K478" s="57">
        <v>200</v>
      </c>
      <c r="L478" s="57">
        <v>450</v>
      </c>
      <c r="M478" s="57">
        <v>410</v>
      </c>
      <c r="N478" s="57">
        <v>450</v>
      </c>
    </row>
    <row r="479" spans="2:15" x14ac:dyDescent="0.2">
      <c r="B479" s="60"/>
      <c r="C479" s="59"/>
      <c r="D479" s="261" t="s">
        <v>369</v>
      </c>
      <c r="E479" s="273"/>
      <c r="F479" s="273"/>
      <c r="G479" s="73">
        <f>G480</f>
        <v>0</v>
      </c>
      <c r="H479" s="73">
        <f t="shared" ref="H479:N479" si="189">H480</f>
        <v>0</v>
      </c>
      <c r="I479" s="73">
        <f t="shared" si="189"/>
        <v>0</v>
      </c>
      <c r="J479" s="73">
        <f t="shared" si="189"/>
        <v>66098.39</v>
      </c>
      <c r="K479" s="73">
        <f t="shared" si="189"/>
        <v>124202</v>
      </c>
      <c r="L479" s="73">
        <f t="shared" si="189"/>
        <v>388738</v>
      </c>
      <c r="M479" s="73">
        <f t="shared" si="189"/>
        <v>395219</v>
      </c>
      <c r="N479" s="73">
        <f t="shared" si="189"/>
        <v>388738</v>
      </c>
    </row>
    <row r="480" spans="2:15" x14ac:dyDescent="0.2">
      <c r="B480" s="60"/>
      <c r="C480" s="59"/>
      <c r="D480" s="59"/>
      <c r="E480" s="261" t="s">
        <v>170</v>
      </c>
      <c r="F480" s="261"/>
      <c r="G480" s="61">
        <f>SUM(G481:G482)</f>
        <v>0</v>
      </c>
      <c r="H480" s="61">
        <f t="shared" ref="H480:N480" si="190">SUM(H481:H482)</f>
        <v>0</v>
      </c>
      <c r="I480" s="61">
        <f t="shared" si="190"/>
        <v>0</v>
      </c>
      <c r="J480" s="61">
        <f t="shared" si="190"/>
        <v>66098.39</v>
      </c>
      <c r="K480" s="61">
        <f t="shared" si="190"/>
        <v>124202</v>
      </c>
      <c r="L480" s="61">
        <f t="shared" si="190"/>
        <v>388738</v>
      </c>
      <c r="M480" s="61">
        <f t="shared" si="190"/>
        <v>395219</v>
      </c>
      <c r="N480" s="61">
        <f t="shared" si="190"/>
        <v>388738</v>
      </c>
    </row>
    <row r="481" spans="2:15" x14ac:dyDescent="0.2">
      <c r="B481" s="60"/>
      <c r="C481" s="59"/>
      <c r="D481" s="59"/>
      <c r="E481" s="59"/>
      <c r="F481" s="139" t="s">
        <v>167</v>
      </c>
      <c r="G481" s="105">
        <v>0</v>
      </c>
      <c r="H481" s="57">
        <v>0</v>
      </c>
      <c r="I481" s="57">
        <v>0</v>
      </c>
      <c r="J481" s="57">
        <v>0</v>
      </c>
      <c r="K481" s="57">
        <v>49598</v>
      </c>
      <c r="L481" s="57">
        <v>163240</v>
      </c>
      <c r="M481" s="57">
        <v>162500</v>
      </c>
      <c r="N481" s="57">
        <v>156245</v>
      </c>
    </row>
    <row r="482" spans="2:15" x14ac:dyDescent="0.2">
      <c r="B482" s="60"/>
      <c r="C482" s="59"/>
      <c r="D482" s="59"/>
      <c r="E482" s="59"/>
      <c r="F482" s="139" t="s">
        <v>175</v>
      </c>
      <c r="G482" s="105">
        <v>0</v>
      </c>
      <c r="H482" s="57">
        <v>0</v>
      </c>
      <c r="I482" s="57">
        <v>0</v>
      </c>
      <c r="J482" s="57">
        <v>66098.39</v>
      </c>
      <c r="K482" s="57">
        <v>74604</v>
      </c>
      <c r="L482" s="57">
        <v>225498</v>
      </c>
      <c r="M482" s="57">
        <v>232719</v>
      </c>
      <c r="N482" s="57">
        <v>232493</v>
      </c>
    </row>
    <row r="483" spans="2:15" x14ac:dyDescent="0.2">
      <c r="B483" s="60"/>
      <c r="C483" s="270" t="s">
        <v>370</v>
      </c>
      <c r="D483" s="270"/>
      <c r="E483" s="270"/>
      <c r="F483" s="270"/>
      <c r="G483" s="64">
        <f>G484</f>
        <v>927292</v>
      </c>
      <c r="H483" s="64">
        <f t="shared" ref="H483:N483" si="191">H484</f>
        <v>847291</v>
      </c>
      <c r="I483" s="64">
        <f t="shared" si="191"/>
        <v>1074069</v>
      </c>
      <c r="J483" s="64">
        <f t="shared" si="191"/>
        <v>1159981.6399999999</v>
      </c>
      <c r="K483" s="64">
        <f t="shared" si="191"/>
        <v>1177750.57</v>
      </c>
      <c r="L483" s="64">
        <f t="shared" si="191"/>
        <v>1465533</v>
      </c>
      <c r="M483" s="64">
        <f t="shared" si="191"/>
        <v>1101652</v>
      </c>
      <c r="N483" s="64">
        <f t="shared" si="191"/>
        <v>1698817</v>
      </c>
    </row>
    <row r="484" spans="2:15" x14ac:dyDescent="0.2">
      <c r="B484" s="60"/>
      <c r="C484" s="59"/>
      <c r="D484" s="261" t="s">
        <v>198</v>
      </c>
      <c r="E484" s="273"/>
      <c r="F484" s="273"/>
      <c r="G484" s="73">
        <f>G485+G490</f>
        <v>927292</v>
      </c>
      <c r="H484" s="73">
        <f t="shared" ref="H484:L484" si="192">H485+H490</f>
        <v>847291</v>
      </c>
      <c r="I484" s="73">
        <f t="shared" si="192"/>
        <v>1074069</v>
      </c>
      <c r="J484" s="73">
        <f t="shared" si="192"/>
        <v>1159981.6399999999</v>
      </c>
      <c r="K484" s="73">
        <f t="shared" si="192"/>
        <v>1177750.57</v>
      </c>
      <c r="L484" s="73">
        <f t="shared" si="192"/>
        <v>1465533</v>
      </c>
      <c r="M484" s="73">
        <f>M485+M490</f>
        <v>1101652</v>
      </c>
      <c r="N484" s="73">
        <f t="shared" ref="N484" si="193">N485+N490</f>
        <v>1698817</v>
      </c>
    </row>
    <row r="485" spans="2:15" x14ac:dyDescent="0.2">
      <c r="B485" s="60"/>
      <c r="C485" s="59"/>
      <c r="D485" s="59"/>
      <c r="E485" s="263" t="s">
        <v>159</v>
      </c>
      <c r="F485" s="263"/>
      <c r="G485" s="66">
        <f>SUM(G486:G489)</f>
        <v>898417</v>
      </c>
      <c r="H485" s="66">
        <f t="shared" ref="H485:L485" si="194">SUM(H486:H489)</f>
        <v>826316</v>
      </c>
      <c r="I485" s="66">
        <f t="shared" si="194"/>
        <v>1012659</v>
      </c>
      <c r="J485" s="66">
        <f t="shared" si="194"/>
        <v>1103747.17</v>
      </c>
      <c r="K485" s="66">
        <f t="shared" si="194"/>
        <v>1057559.1100000001</v>
      </c>
      <c r="L485" s="66">
        <f t="shared" si="194"/>
        <v>1390658</v>
      </c>
      <c r="M485" s="66">
        <f t="shared" ref="M485" si="195">SUM(M486:M489)</f>
        <v>1046252</v>
      </c>
      <c r="N485" s="66">
        <f t="shared" ref="N485" si="196">SUM(N486:N489)</f>
        <v>1430392</v>
      </c>
    </row>
    <row r="486" spans="2:15" x14ac:dyDescent="0.2">
      <c r="B486" s="60"/>
      <c r="C486" s="59"/>
      <c r="D486" s="59"/>
      <c r="E486" s="59"/>
      <c r="F486" s="139" t="s">
        <v>160</v>
      </c>
      <c r="G486" s="105">
        <v>974759</v>
      </c>
      <c r="H486" s="57">
        <v>992978</v>
      </c>
      <c r="I486" s="57">
        <v>1008284</v>
      </c>
      <c r="J486" s="57">
        <v>1099097.17</v>
      </c>
      <c r="K486" s="57">
        <v>1053684.1100000001</v>
      </c>
      <c r="L486" s="57">
        <v>1413458</v>
      </c>
      <c r="M486" s="57">
        <v>1070052</v>
      </c>
      <c r="N486" s="57">
        <v>1453192</v>
      </c>
    </row>
    <row r="487" spans="2:15" x14ac:dyDescent="0.2">
      <c r="B487" s="60"/>
      <c r="C487" s="59"/>
      <c r="D487" s="59"/>
      <c r="E487" s="59"/>
      <c r="F487" s="139" t="s">
        <v>179</v>
      </c>
      <c r="G487" s="105">
        <v>0</v>
      </c>
      <c r="H487" s="57">
        <v>0</v>
      </c>
      <c r="I487" s="57">
        <v>0</v>
      </c>
      <c r="J487" s="57">
        <v>0</v>
      </c>
      <c r="K487" s="57">
        <v>0</v>
      </c>
      <c r="L487" s="57">
        <v>500</v>
      </c>
      <c r="M487" s="57">
        <v>0</v>
      </c>
      <c r="N487" s="57">
        <v>500</v>
      </c>
    </row>
    <row r="488" spans="2:15" x14ac:dyDescent="0.2">
      <c r="B488" s="60"/>
      <c r="C488" s="59"/>
      <c r="D488" s="59"/>
      <c r="E488" s="59"/>
      <c r="F488" s="139" t="s">
        <v>196</v>
      </c>
      <c r="G488" s="105">
        <v>1575</v>
      </c>
      <c r="H488" s="57">
        <v>1575</v>
      </c>
      <c r="I488" s="57">
        <v>4375</v>
      </c>
      <c r="J488" s="57">
        <v>4650</v>
      </c>
      <c r="K488" s="57">
        <v>3875</v>
      </c>
      <c r="L488" s="57">
        <v>6700</v>
      </c>
      <c r="M488" s="57">
        <v>6200</v>
      </c>
      <c r="N488" s="57">
        <v>6700</v>
      </c>
    </row>
    <row r="489" spans="2:15" x14ac:dyDescent="0.2">
      <c r="B489" s="60"/>
      <c r="C489" s="59"/>
      <c r="D489" s="59"/>
      <c r="E489" s="59"/>
      <c r="F489" s="139" t="s">
        <v>173</v>
      </c>
      <c r="G489" s="105">
        <v>-77917</v>
      </c>
      <c r="H489" s="57">
        <v>-168237</v>
      </c>
      <c r="I489" s="57">
        <v>0</v>
      </c>
      <c r="J489" s="57">
        <v>0</v>
      </c>
      <c r="K489" s="57">
        <v>0</v>
      </c>
      <c r="L489" s="57">
        <v>-30000</v>
      </c>
      <c r="M489" s="57">
        <v>-30000</v>
      </c>
      <c r="N489" s="57">
        <v>-30000</v>
      </c>
    </row>
    <row r="490" spans="2:15" x14ac:dyDescent="0.2">
      <c r="B490" s="60"/>
      <c r="C490" s="59"/>
      <c r="D490" s="59"/>
      <c r="E490" s="261" t="s">
        <v>170</v>
      </c>
      <c r="F490" s="261"/>
      <c r="G490" s="67">
        <f>SUM(G491:G498)</f>
        <v>28875</v>
      </c>
      <c r="H490" s="67">
        <f t="shared" ref="H490:N490" si="197">SUM(H491:H498)</f>
        <v>20975</v>
      </c>
      <c r="I490" s="67">
        <f t="shared" si="197"/>
        <v>61410</v>
      </c>
      <c r="J490" s="67">
        <f t="shared" si="197"/>
        <v>56234.470000000008</v>
      </c>
      <c r="K490" s="67">
        <f t="shared" si="197"/>
        <v>120191.45999999999</v>
      </c>
      <c r="L490" s="67">
        <f t="shared" si="197"/>
        <v>74875</v>
      </c>
      <c r="M490" s="67">
        <f t="shared" si="197"/>
        <v>55400</v>
      </c>
      <c r="N490" s="67">
        <f t="shared" si="197"/>
        <v>268425</v>
      </c>
    </row>
    <row r="491" spans="2:15" x14ac:dyDescent="0.2">
      <c r="B491" s="60"/>
      <c r="C491" s="59"/>
      <c r="D491" s="59"/>
      <c r="E491" s="59"/>
      <c r="F491" s="139" t="s">
        <v>165</v>
      </c>
      <c r="G491" s="105">
        <v>5754</v>
      </c>
      <c r="H491" s="57">
        <v>5159</v>
      </c>
      <c r="I491" s="57">
        <v>6022</v>
      </c>
      <c r="J491" s="57">
        <f>3285.52+2299.4</f>
        <v>5584.92</v>
      </c>
      <c r="K491" s="57">
        <v>4507.87</v>
      </c>
      <c r="L491" s="57">
        <v>10000</v>
      </c>
      <c r="M491" s="57">
        <v>7500</v>
      </c>
      <c r="N491" s="57">
        <v>9900</v>
      </c>
    </row>
    <row r="492" spans="2:15" x14ac:dyDescent="0.2">
      <c r="B492" s="60"/>
      <c r="C492" s="59"/>
      <c r="D492" s="59"/>
      <c r="E492" s="59"/>
      <c r="F492" s="139" t="s">
        <v>166</v>
      </c>
      <c r="G492" s="105">
        <v>3707</v>
      </c>
      <c r="H492" s="57">
        <v>10496</v>
      </c>
      <c r="I492" s="57">
        <v>15070</v>
      </c>
      <c r="J492" s="57">
        <f>234.77+9947.07+2187.66+6300</f>
        <v>18669.5</v>
      </c>
      <c r="K492" s="57">
        <v>18011.599999999999</v>
      </c>
      <c r="L492" s="57">
        <v>25600</v>
      </c>
      <c r="M492" s="57">
        <v>25630</v>
      </c>
      <c r="N492" s="57">
        <v>30050</v>
      </c>
    </row>
    <row r="493" spans="2:15" x14ac:dyDescent="0.2">
      <c r="B493" s="60"/>
      <c r="C493" s="59"/>
      <c r="D493" s="59"/>
      <c r="E493" s="59"/>
      <c r="F493" s="139" t="s">
        <v>187</v>
      </c>
      <c r="G493" s="105">
        <v>0</v>
      </c>
      <c r="H493" s="57">
        <v>0</v>
      </c>
      <c r="I493" s="57">
        <v>152</v>
      </c>
      <c r="J493" s="57">
        <v>0</v>
      </c>
      <c r="K493" s="57">
        <v>0</v>
      </c>
      <c r="L493" s="57">
        <v>975</v>
      </c>
      <c r="M493" s="57">
        <v>0</v>
      </c>
      <c r="N493" s="57">
        <v>975</v>
      </c>
    </row>
    <row r="494" spans="2:15" x14ac:dyDescent="0.2">
      <c r="B494" s="60"/>
      <c r="C494" s="59"/>
      <c r="D494" s="59"/>
      <c r="E494" s="59"/>
      <c r="F494" s="139" t="s">
        <v>197</v>
      </c>
      <c r="G494" s="105">
        <v>1141</v>
      </c>
      <c r="H494" s="57">
        <v>1661</v>
      </c>
      <c r="I494" s="57">
        <v>966</v>
      </c>
      <c r="J494" s="57">
        <v>351.66</v>
      </c>
      <c r="K494" s="57">
        <v>573.54999999999995</v>
      </c>
      <c r="L494" s="57">
        <v>2050</v>
      </c>
      <c r="M494" s="57">
        <v>1300</v>
      </c>
      <c r="N494" s="57">
        <v>2250</v>
      </c>
    </row>
    <row r="495" spans="2:15" x14ac:dyDescent="0.2">
      <c r="B495" s="60"/>
      <c r="C495" s="59"/>
      <c r="D495" s="59"/>
      <c r="E495" s="59"/>
      <c r="F495" s="139" t="s">
        <v>167</v>
      </c>
      <c r="G495" s="105">
        <v>17483</v>
      </c>
      <c r="H495" s="57">
        <v>1508</v>
      </c>
      <c r="I495" s="57">
        <v>35758</v>
      </c>
      <c r="J495" s="57">
        <v>30057.75</v>
      </c>
      <c r="K495" s="57">
        <v>17685</v>
      </c>
      <c r="L495" s="57">
        <v>30000</v>
      </c>
      <c r="M495" s="57">
        <v>17500</v>
      </c>
      <c r="N495" s="57">
        <v>219000</v>
      </c>
      <c r="O495" s="12" t="s">
        <v>548</v>
      </c>
    </row>
    <row r="496" spans="2:15" x14ac:dyDescent="0.2">
      <c r="B496" s="60"/>
      <c r="C496" s="59"/>
      <c r="D496" s="59"/>
      <c r="E496" s="59"/>
      <c r="F496" s="139" t="s">
        <v>168</v>
      </c>
      <c r="G496" s="105">
        <v>673</v>
      </c>
      <c r="H496" s="57">
        <v>2146</v>
      </c>
      <c r="I496" s="57">
        <v>3419</v>
      </c>
      <c r="J496" s="57">
        <f>23.92+1302+239.99</f>
        <v>1565.91</v>
      </c>
      <c r="K496" s="57">
        <v>1275</v>
      </c>
      <c r="L496" s="57">
        <v>6150</v>
      </c>
      <c r="M496" s="57">
        <v>3370</v>
      </c>
      <c r="N496" s="57">
        <v>6150</v>
      </c>
    </row>
    <row r="497" spans="2:15" x14ac:dyDescent="0.2">
      <c r="B497" s="60"/>
      <c r="C497" s="59"/>
      <c r="D497" s="59"/>
      <c r="E497" s="59"/>
      <c r="F497" s="139" t="s">
        <v>175</v>
      </c>
      <c r="G497" s="105">
        <v>0</v>
      </c>
      <c r="H497" s="57">
        <v>0</v>
      </c>
      <c r="I497" s="57">
        <v>0</v>
      </c>
      <c r="J497" s="57">
        <v>0</v>
      </c>
      <c r="K497" s="57">
        <v>78038.91</v>
      </c>
      <c r="L497" s="57">
        <v>0</v>
      </c>
      <c r="M497" s="57">
        <v>0</v>
      </c>
      <c r="N497" s="57">
        <v>0</v>
      </c>
    </row>
    <row r="498" spans="2:15" x14ac:dyDescent="0.2">
      <c r="B498" s="60"/>
      <c r="C498" s="59"/>
      <c r="D498" s="59"/>
      <c r="E498" s="59"/>
      <c r="F498" s="139" t="s">
        <v>189</v>
      </c>
      <c r="G498" s="105">
        <v>117</v>
      </c>
      <c r="H498" s="57">
        <v>5</v>
      </c>
      <c r="I498" s="57">
        <v>23</v>
      </c>
      <c r="J498" s="57">
        <v>4.7300000000000004</v>
      </c>
      <c r="K498" s="57">
        <v>99.53</v>
      </c>
      <c r="L498" s="57">
        <v>100</v>
      </c>
      <c r="M498" s="57">
        <v>100</v>
      </c>
      <c r="N498" s="57">
        <v>100</v>
      </c>
    </row>
    <row r="499" spans="2:15" x14ac:dyDescent="0.2">
      <c r="B499" s="60"/>
      <c r="C499" s="270" t="s">
        <v>199</v>
      </c>
      <c r="D499" s="270"/>
      <c r="E499" s="270"/>
      <c r="F499" s="270"/>
      <c r="G499" s="64">
        <f>G500+G518+G537+G558+G575+G601+G613+G628+G641</f>
        <v>25925487</v>
      </c>
      <c r="H499" s="64">
        <f t="shared" ref="H499:K499" si="198">H500+H518+H537+H558+H575+H601+H613+H628+H641</f>
        <v>29735516</v>
      </c>
      <c r="I499" s="64">
        <f t="shared" si="198"/>
        <v>30959715</v>
      </c>
      <c r="J499" s="64">
        <f t="shared" si="198"/>
        <v>32178299.209999993</v>
      </c>
      <c r="K499" s="64">
        <f t="shared" si="198"/>
        <v>34841124.359999999</v>
      </c>
      <c r="L499" s="64">
        <v>37123572</v>
      </c>
      <c r="M499" s="64">
        <v>39230701</v>
      </c>
      <c r="N499" s="64">
        <v>41121923</v>
      </c>
    </row>
    <row r="500" spans="2:15" x14ac:dyDescent="0.2">
      <c r="B500" s="60"/>
      <c r="C500" s="59"/>
      <c r="D500" s="261" t="s">
        <v>371</v>
      </c>
      <c r="E500" s="273"/>
      <c r="F500" s="273"/>
      <c r="G500" s="67">
        <f>G501+G507+G509</f>
        <v>1283588</v>
      </c>
      <c r="H500" s="67">
        <f t="shared" ref="H500:L500" si="199">H501+H507+H509</f>
        <v>1397446</v>
      </c>
      <c r="I500" s="67">
        <f t="shared" si="199"/>
        <v>1525638</v>
      </c>
      <c r="J500" s="67">
        <f t="shared" si="199"/>
        <v>1043792.28</v>
      </c>
      <c r="K500" s="67">
        <f t="shared" si="199"/>
        <v>1607977.96</v>
      </c>
      <c r="L500" s="67">
        <f t="shared" si="199"/>
        <v>2276674</v>
      </c>
      <c r="M500" s="67">
        <f>M501+M507+M509</f>
        <v>2180081</v>
      </c>
      <c r="N500" s="67">
        <f t="shared" ref="N500" si="200">N501+N507+N509</f>
        <v>2974804</v>
      </c>
    </row>
    <row r="501" spans="2:15" x14ac:dyDescent="0.2">
      <c r="B501" s="60"/>
      <c r="C501" s="59"/>
      <c r="D501" s="59"/>
      <c r="E501" s="268" t="s">
        <v>159</v>
      </c>
      <c r="F501" s="268"/>
      <c r="G501" s="68">
        <f>SUM(G502:G506)</f>
        <v>575023</v>
      </c>
      <c r="H501" s="68">
        <f t="shared" ref="H501:K501" si="201">SUM(H502:H506)</f>
        <v>333094</v>
      </c>
      <c r="I501" s="68">
        <f t="shared" si="201"/>
        <v>481750</v>
      </c>
      <c r="J501" s="68">
        <f t="shared" si="201"/>
        <v>665356.97</v>
      </c>
      <c r="K501" s="68">
        <f t="shared" si="201"/>
        <v>761280.66999999993</v>
      </c>
      <c r="L501" s="68">
        <f>SUM(L502:L506)</f>
        <v>1027283</v>
      </c>
      <c r="M501" s="68">
        <f t="shared" ref="M501" si="202">SUM(M502:M506)</f>
        <v>805404</v>
      </c>
      <c r="N501" s="68">
        <f t="shared" ref="N501" si="203">SUM(N502:N506)</f>
        <v>944046</v>
      </c>
    </row>
    <row r="502" spans="2:15" x14ac:dyDescent="0.2">
      <c r="B502" s="60"/>
      <c r="C502" s="59"/>
      <c r="D502" s="59"/>
      <c r="E502" s="59"/>
      <c r="F502" s="139" t="s">
        <v>160</v>
      </c>
      <c r="G502" s="105">
        <v>519786</v>
      </c>
      <c r="H502" s="57">
        <v>489445</v>
      </c>
      <c r="I502" s="57">
        <v>459265</v>
      </c>
      <c r="J502" s="57">
        <v>632355.47</v>
      </c>
      <c r="K502" s="57">
        <v>708585.44</v>
      </c>
      <c r="L502" s="57">
        <v>976983</v>
      </c>
      <c r="M502" s="57">
        <v>743643</v>
      </c>
      <c r="N502" s="57">
        <v>894046</v>
      </c>
    </row>
    <row r="503" spans="2:15" x14ac:dyDescent="0.2">
      <c r="B503" s="60"/>
      <c r="C503" s="59"/>
      <c r="D503" s="59"/>
      <c r="E503" s="59"/>
      <c r="F503" s="139" t="s">
        <v>161</v>
      </c>
      <c r="G503" s="105">
        <v>55237</v>
      </c>
      <c r="H503" s="57">
        <v>33050</v>
      </c>
      <c r="I503" s="57">
        <v>29234</v>
      </c>
      <c r="J503" s="57">
        <v>33001.5</v>
      </c>
      <c r="K503" s="57">
        <v>52695.23</v>
      </c>
      <c r="L503" s="57">
        <v>50000</v>
      </c>
      <c r="M503" s="57">
        <v>61761</v>
      </c>
      <c r="N503" s="57">
        <v>50000</v>
      </c>
    </row>
    <row r="504" spans="2:15" x14ac:dyDescent="0.2">
      <c r="B504" s="60"/>
      <c r="C504" s="59"/>
      <c r="D504" s="59"/>
      <c r="E504" s="59"/>
      <c r="F504" s="139" t="s">
        <v>179</v>
      </c>
      <c r="G504" s="105">
        <v>0</v>
      </c>
      <c r="H504" s="57">
        <v>572</v>
      </c>
      <c r="I504" s="57">
        <v>111</v>
      </c>
      <c r="J504" s="57">
        <v>0</v>
      </c>
      <c r="K504" s="57">
        <v>0</v>
      </c>
      <c r="L504" s="57">
        <v>300</v>
      </c>
      <c r="M504" s="57">
        <v>0</v>
      </c>
      <c r="N504" s="57">
        <v>0</v>
      </c>
    </row>
    <row r="505" spans="2:15" x14ac:dyDescent="0.2">
      <c r="B505" s="60"/>
      <c r="C505" s="59"/>
      <c r="D505" s="59"/>
      <c r="E505" s="59"/>
      <c r="F505" s="139" t="s">
        <v>200</v>
      </c>
      <c r="G505" s="105">
        <v>0</v>
      </c>
      <c r="H505" s="57">
        <v>5571</v>
      </c>
      <c r="I505" s="57">
        <v>0</v>
      </c>
      <c r="J505" s="57">
        <v>0</v>
      </c>
      <c r="K505" s="57">
        <v>0</v>
      </c>
      <c r="L505" s="57">
        <v>0</v>
      </c>
      <c r="M505" s="57">
        <v>0</v>
      </c>
      <c r="N505" s="57">
        <v>0</v>
      </c>
    </row>
    <row r="506" spans="2:15" x14ac:dyDescent="0.2">
      <c r="B506" s="60"/>
      <c r="C506" s="59"/>
      <c r="D506" s="59"/>
      <c r="E506" s="59"/>
      <c r="F506" s="139" t="s">
        <v>173</v>
      </c>
      <c r="G506" s="105">
        <v>0</v>
      </c>
      <c r="H506" s="57">
        <v>-195544</v>
      </c>
      <c r="I506" s="57">
        <v>-6860</v>
      </c>
      <c r="J506" s="57">
        <v>0</v>
      </c>
      <c r="K506" s="57">
        <v>0</v>
      </c>
      <c r="L506" s="57">
        <v>0</v>
      </c>
      <c r="M506" s="57">
        <v>0</v>
      </c>
      <c r="N506" s="57">
        <v>0</v>
      </c>
    </row>
    <row r="507" spans="2:15" x14ac:dyDescent="0.2">
      <c r="B507" s="60"/>
      <c r="C507" s="59"/>
      <c r="D507" s="59"/>
      <c r="E507" s="261" t="s">
        <v>181</v>
      </c>
      <c r="F507" s="261"/>
      <c r="G507" s="67">
        <f>G508</f>
        <v>0</v>
      </c>
      <c r="H507" s="67">
        <f t="shared" ref="H507:N507" si="204">H508</f>
        <v>0</v>
      </c>
      <c r="I507" s="67">
        <f t="shared" si="204"/>
        <v>0</v>
      </c>
      <c r="J507" s="67">
        <f t="shared" si="204"/>
        <v>0</v>
      </c>
      <c r="K507" s="67">
        <f t="shared" si="204"/>
        <v>1142.04</v>
      </c>
      <c r="L507" s="67">
        <f t="shared" si="204"/>
        <v>1000</v>
      </c>
      <c r="M507" s="67">
        <f t="shared" si="204"/>
        <v>1070</v>
      </c>
      <c r="N507" s="67">
        <f t="shared" si="204"/>
        <v>1200</v>
      </c>
    </row>
    <row r="508" spans="2:15" x14ac:dyDescent="0.2">
      <c r="B508" s="60"/>
      <c r="C508" s="59"/>
      <c r="D508" s="59"/>
      <c r="E508" s="59"/>
      <c r="F508" s="139" t="s">
        <v>163</v>
      </c>
      <c r="G508" s="105">
        <v>0</v>
      </c>
      <c r="H508" s="57">
        <v>0</v>
      </c>
      <c r="I508" s="57">
        <v>0</v>
      </c>
      <c r="J508" s="57">
        <v>0</v>
      </c>
      <c r="K508" s="57">
        <v>1142.04</v>
      </c>
      <c r="L508" s="57">
        <v>1000</v>
      </c>
      <c r="M508" s="57">
        <v>1070</v>
      </c>
      <c r="N508" s="57">
        <v>1200</v>
      </c>
    </row>
    <row r="509" spans="2:15" x14ac:dyDescent="0.2">
      <c r="B509" s="60"/>
      <c r="C509" s="59"/>
      <c r="D509" s="59"/>
      <c r="E509" s="261" t="s">
        <v>170</v>
      </c>
      <c r="F509" s="261"/>
      <c r="G509" s="67">
        <f>SUM(G510:G517)</f>
        <v>708565</v>
      </c>
      <c r="H509" s="67">
        <f t="shared" ref="H509:K509" si="205">SUM(H510:H517)</f>
        <v>1064352</v>
      </c>
      <c r="I509" s="67">
        <f t="shared" si="205"/>
        <v>1043888</v>
      </c>
      <c r="J509" s="67">
        <f t="shared" si="205"/>
        <v>378435.31</v>
      </c>
      <c r="K509" s="67">
        <f t="shared" si="205"/>
        <v>845555.25000000012</v>
      </c>
      <c r="L509" s="67">
        <f t="shared" ref="L509" si="206">SUM(L510:L517)</f>
        <v>1248391</v>
      </c>
      <c r="M509" s="67">
        <f t="shared" ref="M509" si="207">SUM(M510:M517)</f>
        <v>1373607</v>
      </c>
      <c r="N509" s="67">
        <f t="shared" ref="N509" si="208">SUM(N510:N517)</f>
        <v>2029558</v>
      </c>
    </row>
    <row r="510" spans="2:15" x14ac:dyDescent="0.2">
      <c r="B510" s="60"/>
      <c r="C510" s="59"/>
      <c r="D510" s="59"/>
      <c r="E510" s="59"/>
      <c r="F510" s="139" t="s">
        <v>165</v>
      </c>
      <c r="G510" s="105">
        <v>8784</v>
      </c>
      <c r="H510" s="57">
        <v>11641</v>
      </c>
      <c r="I510" s="57">
        <v>20609</v>
      </c>
      <c r="J510" s="57">
        <f>12978.13+1755.63</f>
        <v>14733.759999999998</v>
      </c>
      <c r="K510" s="57">
        <v>11052.400000000001</v>
      </c>
      <c r="L510" s="57">
        <v>15300</v>
      </c>
      <c r="M510" s="57">
        <v>9920</v>
      </c>
      <c r="N510" s="57">
        <v>10750</v>
      </c>
    </row>
    <row r="511" spans="2:15" x14ac:dyDescent="0.2">
      <c r="B511" s="60"/>
      <c r="C511" s="59"/>
      <c r="D511" s="59"/>
      <c r="E511" s="59"/>
      <c r="F511" s="139" t="s">
        <v>166</v>
      </c>
      <c r="G511" s="105">
        <v>283</v>
      </c>
      <c r="H511" s="57">
        <v>0</v>
      </c>
      <c r="I511" s="57">
        <v>412</v>
      </c>
      <c r="J511" s="57">
        <f>341.16+200</f>
        <v>541.16000000000008</v>
      </c>
      <c r="K511" s="57">
        <v>3758.9</v>
      </c>
      <c r="L511" s="57">
        <v>51150</v>
      </c>
      <c r="M511" s="57">
        <v>46300</v>
      </c>
      <c r="N511" s="57">
        <v>31400</v>
      </c>
    </row>
    <row r="512" spans="2:15" x14ac:dyDescent="0.2">
      <c r="B512" s="60"/>
      <c r="C512" s="59"/>
      <c r="D512" s="59"/>
      <c r="E512" s="59"/>
      <c r="F512" s="139" t="s">
        <v>178</v>
      </c>
      <c r="G512" s="105">
        <v>655508</v>
      </c>
      <c r="H512" s="57">
        <v>996373</v>
      </c>
      <c r="I512" s="57">
        <v>979560</v>
      </c>
      <c r="J512" s="57">
        <f>163074.17+158204.24</f>
        <v>321278.41000000003</v>
      </c>
      <c r="K512" s="57">
        <v>788093.8600000001</v>
      </c>
      <c r="L512" s="57">
        <v>1000789</v>
      </c>
      <c r="M512" s="57">
        <v>1134856</v>
      </c>
      <c r="N512" s="57">
        <v>1811084</v>
      </c>
      <c r="O512" s="12" t="s">
        <v>550</v>
      </c>
    </row>
    <row r="513" spans="2:14" x14ac:dyDescent="0.2">
      <c r="B513" s="60"/>
      <c r="C513" s="59"/>
      <c r="D513" s="59"/>
      <c r="E513" s="59"/>
      <c r="F513" s="139" t="s">
        <v>167</v>
      </c>
      <c r="G513" s="105">
        <v>43430</v>
      </c>
      <c r="H513" s="57">
        <v>52016</v>
      </c>
      <c r="I513" s="57">
        <v>27834</v>
      </c>
      <c r="J513" s="57">
        <v>28207.5</v>
      </c>
      <c r="K513" s="57">
        <v>32716.35</v>
      </c>
      <c r="L513" s="57">
        <v>38500</v>
      </c>
      <c r="M513" s="57">
        <v>33000</v>
      </c>
      <c r="N513" s="57">
        <v>36500</v>
      </c>
    </row>
    <row r="514" spans="2:14" x14ac:dyDescent="0.2">
      <c r="B514" s="60"/>
      <c r="C514" s="59"/>
      <c r="D514" s="59"/>
      <c r="E514" s="59"/>
      <c r="F514" s="139" t="s">
        <v>168</v>
      </c>
      <c r="G514" s="105">
        <v>560</v>
      </c>
      <c r="H514" s="57">
        <v>4322</v>
      </c>
      <c r="I514" s="57">
        <v>15473</v>
      </c>
      <c r="J514" s="57">
        <f>8744.91+4295.57+634</f>
        <v>13674.48</v>
      </c>
      <c r="K514" s="57">
        <v>9503.74</v>
      </c>
      <c r="L514" s="57">
        <v>9000</v>
      </c>
      <c r="M514" s="57">
        <v>8700</v>
      </c>
      <c r="N514" s="57">
        <v>1000</v>
      </c>
    </row>
    <row r="515" spans="2:14" x14ac:dyDescent="0.2">
      <c r="B515" s="60"/>
      <c r="C515" s="59"/>
      <c r="D515" s="59"/>
      <c r="E515" s="59"/>
      <c r="F515" s="139" t="s">
        <v>175</v>
      </c>
      <c r="G515" s="105">
        <v>0</v>
      </c>
      <c r="H515" s="105">
        <v>0</v>
      </c>
      <c r="I515" s="105">
        <v>0</v>
      </c>
      <c r="J515" s="105">
        <v>0</v>
      </c>
      <c r="K515" s="57">
        <v>0</v>
      </c>
      <c r="L515" s="57">
        <v>131152</v>
      </c>
      <c r="M515" s="105">
        <v>140036</v>
      </c>
      <c r="N515" s="57">
        <v>137574</v>
      </c>
    </row>
    <row r="516" spans="2:14" x14ac:dyDescent="0.2">
      <c r="B516" s="60"/>
      <c r="C516" s="59"/>
      <c r="D516" s="59"/>
      <c r="E516" s="59"/>
      <c r="F516" s="139" t="s">
        <v>176</v>
      </c>
      <c r="G516" s="105">
        <v>0</v>
      </c>
      <c r="H516" s="105">
        <v>0</v>
      </c>
      <c r="I516" s="105">
        <v>0</v>
      </c>
      <c r="J516" s="105">
        <v>0</v>
      </c>
      <c r="K516" s="57">
        <v>0</v>
      </c>
      <c r="L516" s="57">
        <v>1000</v>
      </c>
      <c r="M516" s="105">
        <v>150</v>
      </c>
      <c r="N516" s="57">
        <v>250</v>
      </c>
    </row>
    <row r="517" spans="2:14" x14ac:dyDescent="0.2">
      <c r="B517" s="60"/>
      <c r="C517" s="59"/>
      <c r="D517" s="59"/>
      <c r="E517" s="59"/>
      <c r="F517" s="139" t="s">
        <v>189</v>
      </c>
      <c r="G517" s="105">
        <v>0</v>
      </c>
      <c r="H517" s="105">
        <v>0</v>
      </c>
      <c r="I517" s="105">
        <v>0</v>
      </c>
      <c r="J517" s="105">
        <v>0</v>
      </c>
      <c r="K517" s="57">
        <v>430</v>
      </c>
      <c r="L517" s="57">
        <v>1500</v>
      </c>
      <c r="M517" s="105">
        <v>645</v>
      </c>
      <c r="N517" s="57">
        <v>1000</v>
      </c>
    </row>
    <row r="518" spans="2:14" x14ac:dyDescent="0.2">
      <c r="B518" s="60"/>
      <c r="C518" s="59"/>
      <c r="D518" s="268" t="s">
        <v>372</v>
      </c>
      <c r="E518" s="269"/>
      <c r="F518" s="269"/>
      <c r="G518" s="72">
        <f>G519+G529+G531</f>
        <v>679560</v>
      </c>
      <c r="H518" s="72">
        <f t="shared" ref="H518:K518" si="209">H519+H529+H531</f>
        <v>808967</v>
      </c>
      <c r="I518" s="72">
        <f t="shared" si="209"/>
        <v>932896</v>
      </c>
      <c r="J518" s="72">
        <f t="shared" si="209"/>
        <v>1077756.6200000001</v>
      </c>
      <c r="K518" s="72">
        <f t="shared" si="209"/>
        <v>984507.62</v>
      </c>
      <c r="L518" s="72">
        <f>L519+L529+L531</f>
        <v>1227268</v>
      </c>
      <c r="M518" s="72">
        <f t="shared" ref="M518" si="210">M519+M529+M531</f>
        <v>1218413</v>
      </c>
      <c r="N518" s="72">
        <f t="shared" ref="N518" si="211">N519+N529+N531</f>
        <v>1180524</v>
      </c>
    </row>
    <row r="519" spans="2:14" x14ac:dyDescent="0.2">
      <c r="B519" s="60"/>
      <c r="C519" s="59"/>
      <c r="D519" s="59"/>
      <c r="E519" s="262" t="s">
        <v>188</v>
      </c>
      <c r="F519" s="262"/>
      <c r="G519" s="73">
        <f>SUM(G520:G528)</f>
        <v>652531</v>
      </c>
      <c r="H519" s="73">
        <f t="shared" ref="H519:K519" si="212">SUM(H520:H528)</f>
        <v>798139</v>
      </c>
      <c r="I519" s="73">
        <f t="shared" si="212"/>
        <v>926112</v>
      </c>
      <c r="J519" s="73">
        <f t="shared" si="212"/>
        <v>1071653.07</v>
      </c>
      <c r="K519" s="73">
        <f t="shared" si="212"/>
        <v>978846.4</v>
      </c>
      <c r="L519" s="73">
        <f>SUM(L520:L528)</f>
        <v>1210868</v>
      </c>
      <c r="M519" s="73">
        <f t="shared" ref="M519" si="213">SUM(M520:M528)</f>
        <v>1205110</v>
      </c>
      <c r="N519" s="73">
        <f t="shared" ref="N519" si="214">SUM(N520:N528)</f>
        <v>1166624</v>
      </c>
    </row>
    <row r="520" spans="2:14" x14ac:dyDescent="0.2">
      <c r="B520" s="60"/>
      <c r="C520" s="59"/>
      <c r="D520" s="59"/>
      <c r="E520" s="59"/>
      <c r="F520" s="139" t="s">
        <v>160</v>
      </c>
      <c r="G520" s="105">
        <v>100120</v>
      </c>
      <c r="H520" s="63">
        <v>290269</v>
      </c>
      <c r="I520" s="63">
        <v>360791</v>
      </c>
      <c r="J520" s="63">
        <v>355421.44</v>
      </c>
      <c r="K520" s="63">
        <v>366082.35</v>
      </c>
      <c r="L520" s="63">
        <v>402062</v>
      </c>
      <c r="M520" s="57">
        <v>391277</v>
      </c>
      <c r="N520" s="63">
        <v>406744</v>
      </c>
    </row>
    <row r="521" spans="2:14" x14ac:dyDescent="0.2">
      <c r="B521" s="60"/>
      <c r="C521" s="59"/>
      <c r="D521" s="59"/>
      <c r="E521" s="59"/>
      <c r="F521" s="139" t="s">
        <v>201</v>
      </c>
      <c r="G521" s="105">
        <v>525391</v>
      </c>
      <c r="H521" s="57">
        <v>444070</v>
      </c>
      <c r="I521" s="57">
        <v>435592</v>
      </c>
      <c r="J521" s="57">
        <v>487713.46</v>
      </c>
      <c r="K521" s="57">
        <v>450102.73</v>
      </c>
      <c r="L521" s="57">
        <v>668943</v>
      </c>
      <c r="M521" s="57">
        <v>592033</v>
      </c>
      <c r="N521" s="57">
        <v>548980</v>
      </c>
    </row>
    <row r="522" spans="2:14" x14ac:dyDescent="0.2">
      <c r="B522" s="60"/>
      <c r="C522" s="59"/>
      <c r="D522" s="59"/>
      <c r="E522" s="59"/>
      <c r="F522" s="139" t="s">
        <v>161</v>
      </c>
      <c r="G522" s="105">
        <v>19200</v>
      </c>
      <c r="H522" s="57">
        <v>23999</v>
      </c>
      <c r="I522" s="57">
        <v>28632</v>
      </c>
      <c r="J522" s="57">
        <v>66408.399999999994</v>
      </c>
      <c r="K522" s="57">
        <v>35474.65</v>
      </c>
      <c r="L522" s="57">
        <v>60200</v>
      </c>
      <c r="M522" s="57">
        <v>54600</v>
      </c>
      <c r="N522" s="57">
        <v>92000</v>
      </c>
    </row>
    <row r="523" spans="2:14" x14ac:dyDescent="0.2">
      <c r="B523" s="60"/>
      <c r="C523" s="59"/>
      <c r="D523" s="59"/>
      <c r="E523" s="59"/>
      <c r="F523" s="139" t="s">
        <v>179</v>
      </c>
      <c r="G523" s="105">
        <v>6828</v>
      </c>
      <c r="H523" s="57">
        <v>50136</v>
      </c>
      <c r="I523" s="57">
        <v>87461</v>
      </c>
      <c r="J523" s="57">
        <v>143643.76999999999</v>
      </c>
      <c r="K523" s="57">
        <v>114767.42</v>
      </c>
      <c r="L523" s="57">
        <v>56463</v>
      </c>
      <c r="M523" s="57">
        <v>150000</v>
      </c>
      <c r="N523" s="57">
        <v>100000</v>
      </c>
    </row>
    <row r="524" spans="2:14" x14ac:dyDescent="0.2">
      <c r="B524" s="60"/>
      <c r="C524" s="59"/>
      <c r="D524" s="59"/>
      <c r="E524" s="59"/>
      <c r="F524" s="139" t="s">
        <v>202</v>
      </c>
      <c r="G524" s="105">
        <v>36</v>
      </c>
      <c r="H524" s="57">
        <v>701</v>
      </c>
      <c r="I524" s="57">
        <v>1013</v>
      </c>
      <c r="J524" s="57">
        <v>1196.5</v>
      </c>
      <c r="K524" s="57">
        <v>1030.4000000000001</v>
      </c>
      <c r="L524" s="57">
        <v>1100</v>
      </c>
      <c r="M524" s="57">
        <v>1100</v>
      </c>
      <c r="N524" s="57">
        <v>1100</v>
      </c>
    </row>
    <row r="525" spans="2:14" x14ac:dyDescent="0.2">
      <c r="B525" s="60"/>
      <c r="C525" s="59"/>
      <c r="D525" s="59"/>
      <c r="E525" s="59"/>
      <c r="F525" s="139" t="s">
        <v>172</v>
      </c>
      <c r="G525" s="105">
        <v>4444</v>
      </c>
      <c r="H525" s="57">
        <v>17405</v>
      </c>
      <c r="I525" s="57">
        <v>4973</v>
      </c>
      <c r="J525" s="57">
        <v>7769.5</v>
      </c>
      <c r="K525" s="57">
        <v>3188.85</v>
      </c>
      <c r="L525" s="57">
        <v>8000</v>
      </c>
      <c r="M525" s="57">
        <v>7000</v>
      </c>
      <c r="N525" s="57">
        <v>8000</v>
      </c>
    </row>
    <row r="526" spans="2:14" x14ac:dyDescent="0.2">
      <c r="B526" s="60"/>
      <c r="C526" s="59"/>
      <c r="D526" s="59"/>
      <c r="E526" s="59"/>
      <c r="F526" s="139" t="s">
        <v>196</v>
      </c>
      <c r="G526" s="105">
        <v>3750</v>
      </c>
      <c r="H526" s="57">
        <v>3000</v>
      </c>
      <c r="I526" s="57">
        <v>3250</v>
      </c>
      <c r="J526" s="57">
        <v>3500</v>
      </c>
      <c r="K526" s="57">
        <v>3500</v>
      </c>
      <c r="L526" s="57">
        <v>4500</v>
      </c>
      <c r="M526" s="57">
        <v>3500</v>
      </c>
      <c r="N526" s="57">
        <v>3500</v>
      </c>
    </row>
    <row r="527" spans="2:14" x14ac:dyDescent="0.2">
      <c r="B527" s="60"/>
      <c r="C527" s="59"/>
      <c r="D527" s="59"/>
      <c r="E527" s="59"/>
      <c r="F527" s="139" t="s">
        <v>203</v>
      </c>
      <c r="G527" s="105">
        <v>0</v>
      </c>
      <c r="H527" s="57">
        <v>0</v>
      </c>
      <c r="I527" s="57">
        <v>4400</v>
      </c>
      <c r="J527" s="57">
        <v>6000</v>
      </c>
      <c r="K527" s="57">
        <v>4700</v>
      </c>
      <c r="L527" s="57">
        <v>9600</v>
      </c>
      <c r="M527" s="57">
        <v>5600</v>
      </c>
      <c r="N527" s="57">
        <v>6300</v>
      </c>
    </row>
    <row r="528" spans="2:14" x14ac:dyDescent="0.2">
      <c r="B528" s="60"/>
      <c r="C528" s="59"/>
      <c r="D528" s="59"/>
      <c r="E528" s="59"/>
      <c r="F528" s="139" t="s">
        <v>173</v>
      </c>
      <c r="G528" s="105">
        <v>-7238</v>
      </c>
      <c r="H528" s="57">
        <v>-31441</v>
      </c>
      <c r="I528" s="57">
        <v>0</v>
      </c>
      <c r="J528" s="57">
        <v>0</v>
      </c>
      <c r="K528" s="57">
        <v>0</v>
      </c>
      <c r="L528" s="57">
        <v>0</v>
      </c>
      <c r="M528" s="57">
        <v>0</v>
      </c>
      <c r="N528" s="57">
        <v>0</v>
      </c>
    </row>
    <row r="529" spans="2:15" x14ac:dyDescent="0.2">
      <c r="B529" s="60"/>
      <c r="C529" s="59"/>
      <c r="D529" s="59"/>
      <c r="E529" s="278" t="s">
        <v>181</v>
      </c>
      <c r="F529" s="278"/>
      <c r="G529" s="58">
        <f>G530</f>
        <v>3202</v>
      </c>
      <c r="H529" s="58">
        <f t="shared" ref="H529:N529" si="215">H530</f>
        <v>728</v>
      </c>
      <c r="I529" s="58">
        <f t="shared" si="215"/>
        <v>1211</v>
      </c>
      <c r="J529" s="58">
        <f t="shared" si="215"/>
        <v>0</v>
      </c>
      <c r="K529" s="58">
        <f t="shared" si="215"/>
        <v>0</v>
      </c>
      <c r="L529" s="58">
        <f t="shared" si="215"/>
        <v>0</v>
      </c>
      <c r="M529" s="58">
        <f t="shared" si="215"/>
        <v>0</v>
      </c>
      <c r="N529" s="58">
        <f t="shared" si="215"/>
        <v>0</v>
      </c>
    </row>
    <row r="530" spans="2:15" x14ac:dyDescent="0.2">
      <c r="B530" s="60"/>
      <c r="C530" s="59"/>
      <c r="D530" s="59"/>
      <c r="E530" s="59"/>
      <c r="F530" s="136" t="s">
        <v>186</v>
      </c>
      <c r="G530" s="105">
        <v>3202</v>
      </c>
      <c r="H530" s="63">
        <v>728</v>
      </c>
      <c r="I530" s="63">
        <v>1211</v>
      </c>
      <c r="J530" s="63">
        <v>0</v>
      </c>
      <c r="K530" s="63">
        <v>0</v>
      </c>
      <c r="L530" s="63">
        <v>0</v>
      </c>
      <c r="M530" s="57">
        <v>0</v>
      </c>
      <c r="N530" s="63">
        <v>0</v>
      </c>
    </row>
    <row r="531" spans="2:15" x14ac:dyDescent="0.2">
      <c r="B531" s="60"/>
      <c r="C531" s="59"/>
      <c r="D531" s="59"/>
      <c r="E531" s="262" t="s">
        <v>204</v>
      </c>
      <c r="F531" s="262"/>
      <c r="G531" s="70">
        <f>SUM(G532:G536)</f>
        <v>23827</v>
      </c>
      <c r="H531" s="70">
        <f t="shared" ref="H531:K531" si="216">SUM(H532:H536)</f>
        <v>10100</v>
      </c>
      <c r="I531" s="70">
        <f t="shared" si="216"/>
        <v>5573</v>
      </c>
      <c r="J531" s="70">
        <f t="shared" si="216"/>
        <v>6103.55</v>
      </c>
      <c r="K531" s="70">
        <f t="shared" si="216"/>
        <v>5661.22</v>
      </c>
      <c r="L531" s="70">
        <f t="shared" ref="L531" si="217">SUM(L532:L536)</f>
        <v>16400</v>
      </c>
      <c r="M531" s="70">
        <f t="shared" ref="M531" si="218">SUM(M532:M536)</f>
        <v>13303</v>
      </c>
      <c r="N531" s="70">
        <f t="shared" ref="N531" si="219">SUM(N532:N536)</f>
        <v>13900</v>
      </c>
    </row>
    <row r="532" spans="2:15" x14ac:dyDescent="0.2">
      <c r="B532" s="60"/>
      <c r="C532" s="59"/>
      <c r="D532" s="59"/>
      <c r="E532" s="140"/>
      <c r="F532" s="139" t="s">
        <v>165</v>
      </c>
      <c r="G532" s="110">
        <v>0</v>
      </c>
      <c r="H532" s="110">
        <v>0</v>
      </c>
      <c r="I532" s="110">
        <v>0</v>
      </c>
      <c r="J532" s="110">
        <v>0</v>
      </c>
      <c r="K532" s="110">
        <v>0</v>
      </c>
      <c r="L532" s="110">
        <v>0</v>
      </c>
      <c r="M532" s="110">
        <v>0</v>
      </c>
      <c r="N532" s="110">
        <v>0</v>
      </c>
    </row>
    <row r="533" spans="2:15" x14ac:dyDescent="0.2">
      <c r="B533" s="60"/>
      <c r="C533" s="59"/>
      <c r="D533" s="59"/>
      <c r="E533" s="59"/>
      <c r="F533" s="139" t="s">
        <v>166</v>
      </c>
      <c r="G533" s="105">
        <v>21234</v>
      </c>
      <c r="H533" s="63">
        <v>8779</v>
      </c>
      <c r="I533" s="63">
        <v>3956</v>
      </c>
      <c r="J533" s="63">
        <f>1997.38+1502.43+1150+6.7</f>
        <v>4656.51</v>
      </c>
      <c r="K533" s="63">
        <v>4211.51</v>
      </c>
      <c r="L533" s="63">
        <v>11200</v>
      </c>
      <c r="M533" s="57">
        <v>10403</v>
      </c>
      <c r="N533" s="63">
        <v>9400</v>
      </c>
    </row>
    <row r="534" spans="2:15" x14ac:dyDescent="0.2">
      <c r="B534" s="60"/>
      <c r="C534" s="59"/>
      <c r="D534" s="59"/>
      <c r="E534" s="59"/>
      <c r="F534" s="139" t="s">
        <v>187</v>
      </c>
      <c r="G534" s="105">
        <v>0</v>
      </c>
      <c r="H534" s="57">
        <v>0</v>
      </c>
      <c r="I534" s="57">
        <v>128</v>
      </c>
      <c r="J534" s="57">
        <v>0</v>
      </c>
      <c r="K534" s="57">
        <v>0</v>
      </c>
      <c r="L534" s="57">
        <v>2000</v>
      </c>
      <c r="M534" s="57">
        <v>800</v>
      </c>
      <c r="N534" s="57">
        <v>1500</v>
      </c>
    </row>
    <row r="535" spans="2:15" x14ac:dyDescent="0.2">
      <c r="B535" s="60"/>
      <c r="C535" s="59"/>
      <c r="D535" s="59"/>
      <c r="E535" s="59"/>
      <c r="F535" s="139" t="s">
        <v>197</v>
      </c>
      <c r="G535" s="105">
        <v>1369</v>
      </c>
      <c r="H535" s="57">
        <v>1321</v>
      </c>
      <c r="I535" s="57">
        <v>1489</v>
      </c>
      <c r="J535" s="57">
        <v>997.04</v>
      </c>
      <c r="K535" s="57">
        <v>1449.71</v>
      </c>
      <c r="L535" s="57">
        <v>3200</v>
      </c>
      <c r="M535" s="57">
        <v>2100</v>
      </c>
      <c r="N535" s="57">
        <v>3000</v>
      </c>
    </row>
    <row r="536" spans="2:15" x14ac:dyDescent="0.2">
      <c r="B536" s="60"/>
      <c r="C536" s="59"/>
      <c r="D536" s="59"/>
      <c r="E536" s="59"/>
      <c r="F536" s="139" t="s">
        <v>168</v>
      </c>
      <c r="G536" s="105">
        <v>1224</v>
      </c>
      <c r="H536" s="57">
        <v>0</v>
      </c>
      <c r="I536" s="57">
        <v>0</v>
      </c>
      <c r="J536" s="57">
        <v>450</v>
      </c>
      <c r="K536" s="57">
        <v>0</v>
      </c>
      <c r="L536" s="57">
        <v>0</v>
      </c>
      <c r="M536" s="57">
        <v>0</v>
      </c>
      <c r="N536" s="57">
        <v>0</v>
      </c>
    </row>
    <row r="537" spans="2:15" x14ac:dyDescent="0.2">
      <c r="B537" s="60"/>
      <c r="C537" s="59"/>
      <c r="D537" s="268" t="s">
        <v>373</v>
      </c>
      <c r="E537" s="269"/>
      <c r="F537" s="269"/>
      <c r="G537" s="72">
        <f>G538+G549+G551</f>
        <v>3230108</v>
      </c>
      <c r="H537" s="72">
        <f t="shared" ref="H537:L537" si="220">H538+H549+H551</f>
        <v>3909173</v>
      </c>
      <c r="I537" s="72">
        <f t="shared" si="220"/>
        <v>4214586</v>
      </c>
      <c r="J537" s="72">
        <f t="shared" si="220"/>
        <v>4228780.5699999994</v>
      </c>
      <c r="K537" s="72">
        <f t="shared" si="220"/>
        <v>3912298.38</v>
      </c>
      <c r="L537" s="72">
        <f t="shared" si="220"/>
        <v>4052431</v>
      </c>
      <c r="M537" s="72">
        <f t="shared" ref="M537" si="221">M538+M549+M551</f>
        <v>4519219</v>
      </c>
      <c r="N537" s="72">
        <f t="shared" ref="N537" si="222">N538+N549+N551</f>
        <v>4724377</v>
      </c>
    </row>
    <row r="538" spans="2:15" x14ac:dyDescent="0.2">
      <c r="B538" s="60"/>
      <c r="C538" s="59"/>
      <c r="D538" s="59"/>
      <c r="E538" s="262" t="s">
        <v>188</v>
      </c>
      <c r="F538" s="262"/>
      <c r="G538" s="73">
        <f>SUM(G539:G548)</f>
        <v>2976399</v>
      </c>
      <c r="H538" s="73">
        <f t="shared" ref="H538:N538" si="223">SUM(H539:H548)</f>
        <v>3562385</v>
      </c>
      <c r="I538" s="73">
        <f t="shared" si="223"/>
        <v>3859887</v>
      </c>
      <c r="J538" s="73">
        <f t="shared" si="223"/>
        <v>3917935.5899999994</v>
      </c>
      <c r="K538" s="73">
        <f t="shared" si="223"/>
        <v>3653592.95</v>
      </c>
      <c r="L538" s="73">
        <f t="shared" si="223"/>
        <v>3629431</v>
      </c>
      <c r="M538" s="73">
        <f t="shared" si="223"/>
        <v>4140085</v>
      </c>
      <c r="N538" s="73">
        <f t="shared" si="223"/>
        <v>4281177</v>
      </c>
      <c r="O538" s="12" t="s">
        <v>549</v>
      </c>
    </row>
    <row r="539" spans="2:15" x14ac:dyDescent="0.2">
      <c r="B539" s="60"/>
      <c r="C539" s="59"/>
      <c r="D539" s="59"/>
      <c r="E539" s="59"/>
      <c r="F539" s="139" t="s">
        <v>160</v>
      </c>
      <c r="G539" s="105">
        <v>174490</v>
      </c>
      <c r="H539" s="105">
        <v>174490</v>
      </c>
      <c r="I539" s="105">
        <v>174490</v>
      </c>
      <c r="J539" s="105">
        <v>174490</v>
      </c>
      <c r="K539" s="105">
        <v>175878</v>
      </c>
      <c r="L539" s="63">
        <v>184663</v>
      </c>
      <c r="M539" s="57">
        <v>198254</v>
      </c>
      <c r="N539" s="63">
        <v>197122</v>
      </c>
    </row>
    <row r="540" spans="2:15" x14ac:dyDescent="0.2">
      <c r="B540" s="60"/>
      <c r="C540" s="59"/>
      <c r="D540" s="59"/>
      <c r="E540" s="59"/>
      <c r="F540" s="139" t="s">
        <v>201</v>
      </c>
      <c r="G540" s="105">
        <v>2276402</v>
      </c>
      <c r="H540" s="57">
        <v>2363571</v>
      </c>
      <c r="I540" s="57">
        <v>2701387</v>
      </c>
      <c r="J540" s="57">
        <v>2822351.67</v>
      </c>
      <c r="K540" s="57">
        <v>2781005.41</v>
      </c>
      <c r="L540" s="57">
        <v>2569216</v>
      </c>
      <c r="M540" s="57">
        <v>3116531</v>
      </c>
      <c r="N540" s="57">
        <v>3186505</v>
      </c>
    </row>
    <row r="541" spans="2:15" x14ac:dyDescent="0.2">
      <c r="B541" s="60"/>
      <c r="C541" s="59"/>
      <c r="D541" s="59"/>
      <c r="E541" s="59"/>
      <c r="F541" s="139" t="s">
        <v>161</v>
      </c>
      <c r="G541" s="105">
        <v>384037</v>
      </c>
      <c r="H541" s="57">
        <v>678623</v>
      </c>
      <c r="I541" s="57">
        <v>654846</v>
      </c>
      <c r="J541" s="57">
        <v>429180.75</v>
      </c>
      <c r="K541" s="57">
        <v>349867.44</v>
      </c>
      <c r="L541" s="57">
        <v>500000</v>
      </c>
      <c r="M541" s="57">
        <v>450000</v>
      </c>
      <c r="N541" s="57">
        <v>500000</v>
      </c>
    </row>
    <row r="542" spans="2:15" x14ac:dyDescent="0.2">
      <c r="B542" s="60"/>
      <c r="C542" s="59"/>
      <c r="D542" s="59"/>
      <c r="E542" s="59"/>
      <c r="F542" s="139" t="s">
        <v>179</v>
      </c>
      <c r="G542" s="105">
        <v>126384</v>
      </c>
      <c r="H542" s="57">
        <v>273562</v>
      </c>
      <c r="I542" s="57">
        <v>288905</v>
      </c>
      <c r="J542" s="57">
        <v>447652.55</v>
      </c>
      <c r="K542" s="57">
        <v>309116.02</v>
      </c>
      <c r="L542" s="57">
        <v>315000</v>
      </c>
      <c r="M542" s="57">
        <v>335000</v>
      </c>
      <c r="N542" s="57">
        <v>345000</v>
      </c>
    </row>
    <row r="543" spans="2:15" x14ac:dyDescent="0.2">
      <c r="B543" s="60"/>
      <c r="C543" s="59"/>
      <c r="D543" s="59"/>
      <c r="E543" s="59"/>
      <c r="F543" s="139" t="s">
        <v>202</v>
      </c>
      <c r="G543" s="105">
        <v>1315</v>
      </c>
      <c r="H543" s="57">
        <v>1667</v>
      </c>
      <c r="I543" s="57">
        <v>2102</v>
      </c>
      <c r="J543" s="57">
        <v>1786.01</v>
      </c>
      <c r="K543" s="57">
        <v>2064.92</v>
      </c>
      <c r="L543" s="57">
        <v>2000</v>
      </c>
      <c r="M543" s="57">
        <v>2100</v>
      </c>
      <c r="N543" s="57">
        <v>2300</v>
      </c>
    </row>
    <row r="544" spans="2:15" x14ac:dyDescent="0.2">
      <c r="B544" s="60"/>
      <c r="C544" s="59"/>
      <c r="D544" s="59"/>
      <c r="E544" s="59"/>
      <c r="F544" s="139" t="s">
        <v>205</v>
      </c>
      <c r="G544" s="105">
        <v>1000</v>
      </c>
      <c r="H544" s="57">
        <v>1000</v>
      </c>
      <c r="I544" s="57">
        <v>1418</v>
      </c>
      <c r="J544" s="57">
        <v>1050</v>
      </c>
      <c r="K544" s="57">
        <v>1050</v>
      </c>
      <c r="L544" s="57">
        <v>2100</v>
      </c>
      <c r="M544" s="57">
        <v>2100</v>
      </c>
      <c r="N544" s="57">
        <v>2800</v>
      </c>
    </row>
    <row r="545" spans="2:14" x14ac:dyDescent="0.2">
      <c r="B545" s="60"/>
      <c r="C545" s="59"/>
      <c r="D545" s="59"/>
      <c r="E545" s="59"/>
      <c r="F545" s="139" t="s">
        <v>172</v>
      </c>
      <c r="G545" s="105">
        <v>39349</v>
      </c>
      <c r="H545" s="57">
        <v>60647</v>
      </c>
      <c r="I545" s="57">
        <v>13589</v>
      </c>
      <c r="J545" s="57">
        <v>21541.599999999999</v>
      </c>
      <c r="K545" s="57">
        <v>10061.16</v>
      </c>
      <c r="L545" s="57">
        <v>30000</v>
      </c>
      <c r="M545" s="57">
        <v>12000</v>
      </c>
      <c r="N545" s="57">
        <v>15000</v>
      </c>
    </row>
    <row r="546" spans="2:14" x14ac:dyDescent="0.2">
      <c r="B546" s="60"/>
      <c r="C546" s="59"/>
      <c r="D546" s="59"/>
      <c r="E546" s="59"/>
      <c r="F546" s="139" t="s">
        <v>196</v>
      </c>
      <c r="G546" s="105">
        <v>9967</v>
      </c>
      <c r="H546" s="57">
        <v>8825</v>
      </c>
      <c r="I546" s="57">
        <v>17750</v>
      </c>
      <c r="J546" s="57">
        <v>19500</v>
      </c>
      <c r="K546" s="57">
        <v>16500</v>
      </c>
      <c r="L546" s="57">
        <v>19252</v>
      </c>
      <c r="M546" s="57">
        <v>17500</v>
      </c>
      <c r="N546" s="57">
        <v>19250</v>
      </c>
    </row>
    <row r="547" spans="2:14" x14ac:dyDescent="0.2">
      <c r="B547" s="60"/>
      <c r="C547" s="59"/>
      <c r="D547" s="59"/>
      <c r="E547" s="59"/>
      <c r="F547" s="139" t="s">
        <v>203</v>
      </c>
      <c r="G547" s="105">
        <v>0</v>
      </c>
      <c r="H547" s="57">
        <v>0</v>
      </c>
      <c r="I547" s="57">
        <v>5400</v>
      </c>
      <c r="J547" s="57">
        <v>5950</v>
      </c>
      <c r="K547" s="57">
        <v>8050</v>
      </c>
      <c r="L547" s="57">
        <v>7200</v>
      </c>
      <c r="M547" s="57">
        <v>6600</v>
      </c>
      <c r="N547" s="57">
        <v>13200</v>
      </c>
    </row>
    <row r="548" spans="2:14" x14ac:dyDescent="0.2">
      <c r="B548" s="60"/>
      <c r="C548" s="59"/>
      <c r="D548" s="59"/>
      <c r="E548" s="59"/>
      <c r="F548" s="139" t="s">
        <v>173</v>
      </c>
      <c r="G548" s="105">
        <v>-36545</v>
      </c>
      <c r="H548" s="57">
        <v>0</v>
      </c>
      <c r="I548" s="57">
        <v>0</v>
      </c>
      <c r="J548" s="57">
        <v>-5566.99</v>
      </c>
      <c r="K548" s="57">
        <v>0</v>
      </c>
      <c r="L548" s="57">
        <v>0</v>
      </c>
      <c r="M548" s="57">
        <v>0</v>
      </c>
      <c r="N548" s="57">
        <v>0</v>
      </c>
    </row>
    <row r="549" spans="2:14" x14ac:dyDescent="0.2">
      <c r="B549" s="60"/>
      <c r="C549" s="59"/>
      <c r="D549" s="59"/>
      <c r="E549" s="261" t="s">
        <v>181</v>
      </c>
      <c r="F549" s="261"/>
      <c r="G549" s="58">
        <f>G550</f>
        <v>0</v>
      </c>
      <c r="H549" s="58">
        <f t="shared" ref="H549:N549" si="224">H550</f>
        <v>0</v>
      </c>
      <c r="I549" s="58">
        <f t="shared" si="224"/>
        <v>12765</v>
      </c>
      <c r="J549" s="58">
        <f t="shared" si="224"/>
        <v>0</v>
      </c>
      <c r="K549" s="58">
        <f t="shared" si="224"/>
        <v>0</v>
      </c>
      <c r="L549" s="58">
        <f t="shared" si="224"/>
        <v>0</v>
      </c>
      <c r="M549" s="58">
        <f t="shared" si="224"/>
        <v>0</v>
      </c>
      <c r="N549" s="58">
        <f t="shared" si="224"/>
        <v>0</v>
      </c>
    </row>
    <row r="550" spans="2:14" x14ac:dyDescent="0.2">
      <c r="B550" s="60"/>
      <c r="C550" s="59"/>
      <c r="D550" s="59"/>
      <c r="E550" s="59"/>
      <c r="F550" s="136" t="s">
        <v>186</v>
      </c>
      <c r="G550" s="105">
        <v>0</v>
      </c>
      <c r="H550" s="63">
        <v>0</v>
      </c>
      <c r="I550" s="63">
        <v>12765</v>
      </c>
      <c r="J550" s="63">
        <v>0</v>
      </c>
      <c r="K550" s="63">
        <v>0</v>
      </c>
      <c r="L550" s="63">
        <v>0</v>
      </c>
      <c r="M550" s="57">
        <v>0</v>
      </c>
      <c r="N550" s="63">
        <v>0</v>
      </c>
    </row>
    <row r="551" spans="2:14" x14ac:dyDescent="0.2">
      <c r="B551" s="60"/>
      <c r="C551" s="59"/>
      <c r="D551" s="59"/>
      <c r="E551" s="262" t="s">
        <v>182</v>
      </c>
      <c r="F551" s="262"/>
      <c r="G551" s="70">
        <f>SUM(G552:G557)</f>
        <v>253709</v>
      </c>
      <c r="H551" s="70">
        <f t="shared" ref="H551:K551" si="225">SUM(H552:H557)</f>
        <v>346788</v>
      </c>
      <c r="I551" s="70">
        <f t="shared" si="225"/>
        <v>341934</v>
      </c>
      <c r="J551" s="70">
        <f t="shared" si="225"/>
        <v>310844.98000000004</v>
      </c>
      <c r="K551" s="70">
        <f t="shared" si="225"/>
        <v>258705.42999999993</v>
      </c>
      <c r="L551" s="70">
        <f>SUM(L552:L557)</f>
        <v>423000</v>
      </c>
      <c r="M551" s="70">
        <f t="shared" ref="M551" si="226">SUM(M552:M557)</f>
        <v>379134</v>
      </c>
      <c r="N551" s="70">
        <f t="shared" ref="N551" si="227">SUM(N552:N557)</f>
        <v>443200</v>
      </c>
    </row>
    <row r="552" spans="2:14" x14ac:dyDescent="0.2">
      <c r="B552" s="60"/>
      <c r="C552" s="59"/>
      <c r="D552" s="59"/>
      <c r="E552" s="59"/>
      <c r="F552" s="139" t="s">
        <v>165</v>
      </c>
      <c r="G552" s="105">
        <v>983</v>
      </c>
      <c r="H552" s="63">
        <v>2072</v>
      </c>
      <c r="I552" s="63">
        <v>1795</v>
      </c>
      <c r="J552" s="63">
        <f>1827.45</f>
        <v>1827.45</v>
      </c>
      <c r="K552" s="63">
        <v>1856.61</v>
      </c>
      <c r="L552" s="63">
        <v>2200</v>
      </c>
      <c r="M552" s="57">
        <v>584</v>
      </c>
      <c r="N552" s="63">
        <v>300</v>
      </c>
    </row>
    <row r="553" spans="2:14" x14ac:dyDescent="0.2">
      <c r="B553" s="60"/>
      <c r="C553" s="59"/>
      <c r="D553" s="59"/>
      <c r="E553" s="59"/>
      <c r="F553" s="139" t="s">
        <v>166</v>
      </c>
      <c r="G553" s="105">
        <v>247237</v>
      </c>
      <c r="H553" s="57">
        <v>338750</v>
      </c>
      <c r="I553" s="57">
        <v>337362</v>
      </c>
      <c r="J553" s="57">
        <f>254341.08+8232.11+2990.51+1993+17456.99+1553.6+1160+18965.46</f>
        <v>306692.75</v>
      </c>
      <c r="K553" s="57">
        <v>254119.41999999995</v>
      </c>
      <c r="L553" s="57">
        <v>415500</v>
      </c>
      <c r="M553" s="57">
        <v>374400</v>
      </c>
      <c r="N553" s="57">
        <v>436600</v>
      </c>
    </row>
    <row r="554" spans="2:14" x14ac:dyDescent="0.2">
      <c r="B554" s="60"/>
      <c r="C554" s="59"/>
      <c r="D554" s="59"/>
      <c r="E554" s="59"/>
      <c r="F554" s="139" t="s">
        <v>187</v>
      </c>
      <c r="G554" s="105">
        <v>267</v>
      </c>
      <c r="H554" s="57">
        <v>607</v>
      </c>
      <c r="I554" s="57">
        <v>330</v>
      </c>
      <c r="J554" s="57">
        <v>0</v>
      </c>
      <c r="K554" s="57">
        <v>589.54</v>
      </c>
      <c r="L554" s="57">
        <v>2000</v>
      </c>
      <c r="M554" s="57">
        <v>1000</v>
      </c>
      <c r="N554" s="57">
        <v>2000</v>
      </c>
    </row>
    <row r="555" spans="2:14" x14ac:dyDescent="0.2">
      <c r="B555" s="60"/>
      <c r="C555" s="59"/>
      <c r="D555" s="59"/>
      <c r="E555" s="59"/>
      <c r="F555" s="139" t="s">
        <v>197</v>
      </c>
      <c r="G555" s="105">
        <v>5220</v>
      </c>
      <c r="H555" s="57">
        <v>5359</v>
      </c>
      <c r="I555" s="57">
        <v>2447</v>
      </c>
      <c r="J555" s="57">
        <v>2324.7800000000002</v>
      </c>
      <c r="K555" s="57">
        <v>1989.86</v>
      </c>
      <c r="L555" s="57">
        <v>3000</v>
      </c>
      <c r="M555" s="57">
        <v>3000</v>
      </c>
      <c r="N555" s="57">
        <v>4000</v>
      </c>
    </row>
    <row r="556" spans="2:14" x14ac:dyDescent="0.2">
      <c r="B556" s="60"/>
      <c r="C556" s="59"/>
      <c r="D556" s="59"/>
      <c r="E556" s="59"/>
      <c r="F556" s="139" t="s">
        <v>168</v>
      </c>
      <c r="G556" s="105">
        <v>2</v>
      </c>
      <c r="H556" s="105">
        <v>0</v>
      </c>
      <c r="I556" s="105">
        <v>0</v>
      </c>
      <c r="J556" s="105">
        <v>0</v>
      </c>
      <c r="K556" s="57">
        <v>0</v>
      </c>
      <c r="L556" s="57">
        <v>0</v>
      </c>
      <c r="M556" s="105">
        <v>0</v>
      </c>
      <c r="N556" s="57">
        <v>0</v>
      </c>
    </row>
    <row r="557" spans="2:14" x14ac:dyDescent="0.2">
      <c r="B557" s="60"/>
      <c r="C557" s="59"/>
      <c r="D557" s="59"/>
      <c r="E557" s="59"/>
      <c r="F557" s="139" t="s">
        <v>189</v>
      </c>
      <c r="G557" s="105">
        <v>0</v>
      </c>
      <c r="H557" s="57">
        <v>0</v>
      </c>
      <c r="I557" s="57">
        <v>0</v>
      </c>
      <c r="J557" s="57">
        <v>0</v>
      </c>
      <c r="K557" s="57">
        <v>150</v>
      </c>
      <c r="L557" s="57">
        <v>300</v>
      </c>
      <c r="M557" s="57">
        <v>150</v>
      </c>
      <c r="N557" s="57">
        <v>300</v>
      </c>
    </row>
    <row r="558" spans="2:14" x14ac:dyDescent="0.2">
      <c r="B558" s="60"/>
      <c r="C558" s="59"/>
      <c r="D558" s="268" t="s">
        <v>374</v>
      </c>
      <c r="E558" s="269"/>
      <c r="F558" s="269"/>
      <c r="G558" s="67">
        <f>G559+G569</f>
        <v>1077026</v>
      </c>
      <c r="H558" s="67">
        <f t="shared" ref="H558:K558" si="228">H559+H569</f>
        <v>826033</v>
      </c>
      <c r="I558" s="67">
        <f t="shared" si="228"/>
        <v>53497</v>
      </c>
      <c r="J558" s="67">
        <f t="shared" si="228"/>
        <v>1445936.0399999998</v>
      </c>
      <c r="K558" s="67">
        <f t="shared" si="228"/>
        <v>1716195.9999999998</v>
      </c>
      <c r="L558" s="67">
        <f>L559+L569</f>
        <v>1313689</v>
      </c>
      <c r="M558" s="67">
        <f t="shared" ref="M558" si="229">M559+M569</f>
        <v>2121009</v>
      </c>
      <c r="N558" s="67">
        <f t="shared" ref="N558" si="230">N559+N569</f>
        <v>884776</v>
      </c>
    </row>
    <row r="559" spans="2:14" x14ac:dyDescent="0.2">
      <c r="B559" s="60"/>
      <c r="C559" s="59"/>
      <c r="D559" s="59"/>
      <c r="E559" s="268" t="s">
        <v>159</v>
      </c>
      <c r="F559" s="268"/>
      <c r="G559" s="68">
        <f>SUM(G560:G568)</f>
        <v>1038948</v>
      </c>
      <c r="H559" s="68">
        <f t="shared" ref="H559:K559" si="231">SUM(H560:H568)</f>
        <v>690637</v>
      </c>
      <c r="I559" s="68">
        <f t="shared" si="231"/>
        <v>-19867</v>
      </c>
      <c r="J559" s="68">
        <f t="shared" si="231"/>
        <v>1302606.6599999999</v>
      </c>
      <c r="K559" s="68">
        <f t="shared" si="231"/>
        <v>1597705.3499999999</v>
      </c>
      <c r="L559" s="68">
        <f>SUM(L560:L568)</f>
        <v>1171579</v>
      </c>
      <c r="M559" s="68">
        <f t="shared" ref="M559" si="232">SUM(M560:M568)</f>
        <v>1973689</v>
      </c>
      <c r="N559" s="68">
        <f t="shared" ref="N559" si="233">SUM(N560:N568)</f>
        <v>715366</v>
      </c>
    </row>
    <row r="560" spans="2:14" x14ac:dyDescent="0.2">
      <c r="B560" s="60"/>
      <c r="C560" s="59"/>
      <c r="D560" s="59"/>
      <c r="E560" s="59"/>
      <c r="F560" s="139" t="s">
        <v>160</v>
      </c>
      <c r="G560" s="105">
        <v>418358</v>
      </c>
      <c r="H560" s="57">
        <v>442737</v>
      </c>
      <c r="I560" s="57">
        <v>250409</v>
      </c>
      <c r="J560" s="57">
        <v>228169.39</v>
      </c>
      <c r="K560" s="57">
        <v>309350.68</v>
      </c>
      <c r="L560" s="57">
        <v>411804</v>
      </c>
      <c r="M560" s="57">
        <v>317750</v>
      </c>
      <c r="N560" s="57">
        <v>326563</v>
      </c>
    </row>
    <row r="561" spans="2:15" x14ac:dyDescent="0.2">
      <c r="B561" s="60"/>
      <c r="C561" s="59"/>
      <c r="D561" s="59"/>
      <c r="E561" s="59"/>
      <c r="F561" s="139" t="s">
        <v>201</v>
      </c>
      <c r="G561" s="105">
        <v>698137</v>
      </c>
      <c r="H561" s="57">
        <v>790617</v>
      </c>
      <c r="I561" s="57">
        <v>672943</v>
      </c>
      <c r="J561" s="57">
        <v>733598.21</v>
      </c>
      <c r="K561" s="57">
        <v>862678.51</v>
      </c>
      <c r="L561" s="57">
        <v>1313075</v>
      </c>
      <c r="M561" s="57">
        <v>1216909</v>
      </c>
      <c r="N561" s="57">
        <v>939103</v>
      </c>
    </row>
    <row r="562" spans="2:15" x14ac:dyDescent="0.2">
      <c r="B562" s="60"/>
      <c r="C562" s="59"/>
      <c r="D562" s="59"/>
      <c r="E562" s="59"/>
      <c r="F562" s="139" t="s">
        <v>179</v>
      </c>
      <c r="G562" s="105">
        <v>260687</v>
      </c>
      <c r="H562" s="57">
        <v>261194</v>
      </c>
      <c r="I562" s="57">
        <v>215622</v>
      </c>
      <c r="J562" s="57">
        <v>295937.58</v>
      </c>
      <c r="K562" s="57">
        <v>395714.6</v>
      </c>
      <c r="L562" s="57">
        <v>400000</v>
      </c>
      <c r="M562" s="57">
        <v>403000</v>
      </c>
      <c r="N562" s="57">
        <v>410000</v>
      </c>
    </row>
    <row r="563" spans="2:15" x14ac:dyDescent="0.2">
      <c r="B563" s="60"/>
      <c r="C563" s="59"/>
      <c r="D563" s="59"/>
      <c r="E563" s="59"/>
      <c r="F563" s="139" t="s">
        <v>202</v>
      </c>
      <c r="G563" s="105">
        <v>3523</v>
      </c>
      <c r="H563" s="57">
        <v>3430</v>
      </c>
      <c r="I563" s="57">
        <v>1772</v>
      </c>
      <c r="J563" s="57">
        <v>2799.97</v>
      </c>
      <c r="K563" s="57">
        <v>3302.15</v>
      </c>
      <c r="L563" s="57">
        <v>4000</v>
      </c>
      <c r="M563" s="57">
        <v>3780</v>
      </c>
      <c r="N563" s="57">
        <v>4000</v>
      </c>
    </row>
    <row r="564" spans="2:15" x14ac:dyDescent="0.2">
      <c r="B564" s="60"/>
      <c r="C564" s="59"/>
      <c r="D564" s="59"/>
      <c r="E564" s="59"/>
      <c r="F564" s="139" t="s">
        <v>205</v>
      </c>
      <c r="G564" s="105">
        <v>250</v>
      </c>
      <c r="H564" s="57">
        <v>250</v>
      </c>
      <c r="I564" s="57">
        <v>250</v>
      </c>
      <c r="J564" s="57">
        <v>250</v>
      </c>
      <c r="K564" s="57">
        <v>250</v>
      </c>
      <c r="L564" s="57">
        <v>350</v>
      </c>
      <c r="M564" s="57">
        <v>350</v>
      </c>
      <c r="N564" s="57">
        <v>350</v>
      </c>
    </row>
    <row r="565" spans="2:15" x14ac:dyDescent="0.2">
      <c r="B565" s="60"/>
      <c r="C565" s="59"/>
      <c r="D565" s="59"/>
      <c r="E565" s="59"/>
      <c r="F565" s="139" t="s">
        <v>172</v>
      </c>
      <c r="G565" s="105">
        <v>12757</v>
      </c>
      <c r="H565" s="57">
        <v>11827</v>
      </c>
      <c r="I565" s="57">
        <v>21213</v>
      </c>
      <c r="J565" s="57">
        <v>19051.509999999998</v>
      </c>
      <c r="K565" s="57">
        <v>5609.41</v>
      </c>
      <c r="L565" s="57">
        <v>18000</v>
      </c>
      <c r="M565" s="57">
        <v>10000</v>
      </c>
      <c r="N565" s="57">
        <v>11000</v>
      </c>
    </row>
    <row r="566" spans="2:15" x14ac:dyDescent="0.2">
      <c r="B566" s="60"/>
      <c r="C566" s="59"/>
      <c r="D566" s="59"/>
      <c r="E566" s="59"/>
      <c r="F566" s="139" t="s">
        <v>196</v>
      </c>
      <c r="G566" s="105">
        <v>9200</v>
      </c>
      <c r="H566" s="57">
        <v>10201</v>
      </c>
      <c r="I566" s="57">
        <v>9693</v>
      </c>
      <c r="J566" s="57">
        <v>9300</v>
      </c>
      <c r="K566" s="57">
        <v>10300</v>
      </c>
      <c r="L566" s="57">
        <v>12350</v>
      </c>
      <c r="M566" s="57">
        <v>11100</v>
      </c>
      <c r="N566" s="57">
        <v>12350</v>
      </c>
    </row>
    <row r="567" spans="2:15" x14ac:dyDescent="0.2">
      <c r="B567" s="60"/>
      <c r="C567" s="59"/>
      <c r="D567" s="59"/>
      <c r="E567" s="59"/>
      <c r="F567" s="139" t="s">
        <v>203</v>
      </c>
      <c r="G567" s="105">
        <v>0</v>
      </c>
      <c r="H567" s="57">
        <v>0</v>
      </c>
      <c r="I567" s="57">
        <v>5200</v>
      </c>
      <c r="J567" s="57">
        <v>13500</v>
      </c>
      <c r="K567" s="57">
        <v>10500</v>
      </c>
      <c r="L567" s="57">
        <v>12000</v>
      </c>
      <c r="M567" s="57">
        <v>10800</v>
      </c>
      <c r="N567" s="57">
        <v>12000</v>
      </c>
    </row>
    <row r="568" spans="2:15" x14ac:dyDescent="0.2">
      <c r="B568" s="60"/>
      <c r="C568" s="59"/>
      <c r="D568" s="59"/>
      <c r="E568" s="59"/>
      <c r="F568" s="139" t="s">
        <v>206</v>
      </c>
      <c r="G568" s="105">
        <v>-363964</v>
      </c>
      <c r="H568" s="57">
        <v>-829619</v>
      </c>
      <c r="I568" s="57">
        <v>-1196969</v>
      </c>
      <c r="J568" s="57">
        <v>0</v>
      </c>
      <c r="K568" s="57">
        <v>0</v>
      </c>
      <c r="L568" s="57">
        <v>-1000000</v>
      </c>
      <c r="M568" s="57">
        <v>0</v>
      </c>
      <c r="N568" s="57">
        <v>-1000000</v>
      </c>
      <c r="O568" s="12" t="s">
        <v>551</v>
      </c>
    </row>
    <row r="569" spans="2:15" x14ac:dyDescent="0.2">
      <c r="B569" s="60"/>
      <c r="C569" s="59"/>
      <c r="D569" s="59"/>
      <c r="E569" s="261" t="s">
        <v>170</v>
      </c>
      <c r="F569" s="261"/>
      <c r="G569" s="61">
        <f>SUM(G570:G574)</f>
        <v>38078</v>
      </c>
      <c r="H569" s="61">
        <f t="shared" ref="H569:N569" si="234">SUM(H570:H574)</f>
        <v>135396</v>
      </c>
      <c r="I569" s="61">
        <f t="shared" si="234"/>
        <v>73364</v>
      </c>
      <c r="J569" s="61">
        <f t="shared" si="234"/>
        <v>143329.37999999998</v>
      </c>
      <c r="K569" s="61">
        <f t="shared" si="234"/>
        <v>118490.65000000001</v>
      </c>
      <c r="L569" s="61">
        <f t="shared" si="234"/>
        <v>142110</v>
      </c>
      <c r="M569" s="61">
        <f t="shared" si="234"/>
        <v>147320</v>
      </c>
      <c r="N569" s="61">
        <f t="shared" si="234"/>
        <v>169410</v>
      </c>
    </row>
    <row r="570" spans="2:15" x14ac:dyDescent="0.2">
      <c r="B570" s="60"/>
      <c r="C570" s="59"/>
      <c r="D570" s="59"/>
      <c r="E570" s="59"/>
      <c r="F570" s="139" t="s">
        <v>166</v>
      </c>
      <c r="G570" s="105">
        <v>35307</v>
      </c>
      <c r="H570" s="57">
        <v>131857</v>
      </c>
      <c r="I570" s="57">
        <v>69440</v>
      </c>
      <c r="J570" s="57">
        <f>84895.14+1740.93+8346.95+9086.16+3963.88+22594.16+7357.62</f>
        <v>137984.84</v>
      </c>
      <c r="K570" s="57">
        <v>113277.76000000001</v>
      </c>
      <c r="L570" s="57">
        <v>133400</v>
      </c>
      <c r="M570" s="57">
        <v>140910</v>
      </c>
      <c r="N570" s="57">
        <v>161200</v>
      </c>
    </row>
    <row r="571" spans="2:15" x14ac:dyDescent="0.2">
      <c r="B571" s="60"/>
      <c r="C571" s="59"/>
      <c r="D571" s="59"/>
      <c r="E571" s="59"/>
      <c r="F571" s="139" t="s">
        <v>187</v>
      </c>
      <c r="G571" s="105">
        <v>0</v>
      </c>
      <c r="H571" s="57">
        <v>0</v>
      </c>
      <c r="I571" s="57">
        <v>0</v>
      </c>
      <c r="J571" s="57">
        <v>1379.96</v>
      </c>
      <c r="K571" s="57">
        <v>0</v>
      </c>
      <c r="L571" s="57">
        <v>2000</v>
      </c>
      <c r="M571" s="57">
        <v>500</v>
      </c>
      <c r="N571" s="57">
        <v>1500</v>
      </c>
    </row>
    <row r="572" spans="2:15" x14ac:dyDescent="0.2">
      <c r="B572" s="60"/>
      <c r="C572" s="59"/>
      <c r="D572" s="59"/>
      <c r="E572" s="59"/>
      <c r="F572" s="139" t="s">
        <v>197</v>
      </c>
      <c r="G572" s="105">
        <v>2771</v>
      </c>
      <c r="H572" s="57">
        <v>3539</v>
      </c>
      <c r="I572" s="57">
        <v>3369</v>
      </c>
      <c r="J572" s="57">
        <v>3484.58</v>
      </c>
      <c r="K572" s="57">
        <v>3523.49</v>
      </c>
      <c r="L572" s="57">
        <v>6000</v>
      </c>
      <c r="M572" s="57">
        <v>5200</v>
      </c>
      <c r="N572" s="57">
        <v>6000</v>
      </c>
    </row>
    <row r="573" spans="2:15" x14ac:dyDescent="0.2">
      <c r="B573" s="60"/>
      <c r="C573" s="59"/>
      <c r="D573" s="59"/>
      <c r="E573" s="59"/>
      <c r="F573" s="139" t="s">
        <v>168</v>
      </c>
      <c r="G573" s="105">
        <v>0</v>
      </c>
      <c r="H573" s="57">
        <v>0</v>
      </c>
      <c r="I573" s="57">
        <v>75</v>
      </c>
      <c r="J573" s="57">
        <v>0</v>
      </c>
      <c r="K573" s="57">
        <v>1579.4</v>
      </c>
      <c r="L573" s="57">
        <v>0</v>
      </c>
      <c r="M573" s="57">
        <v>0</v>
      </c>
      <c r="N573" s="57">
        <v>0</v>
      </c>
    </row>
    <row r="574" spans="2:15" x14ac:dyDescent="0.2">
      <c r="B574" s="60"/>
      <c r="C574" s="59"/>
      <c r="D574" s="59"/>
      <c r="E574" s="59"/>
      <c r="F574" s="139" t="s">
        <v>189</v>
      </c>
      <c r="G574" s="105">
        <v>0</v>
      </c>
      <c r="H574" s="57">
        <v>0</v>
      </c>
      <c r="I574" s="57">
        <v>480</v>
      </c>
      <c r="J574" s="57">
        <v>480</v>
      </c>
      <c r="K574" s="57">
        <v>110</v>
      </c>
      <c r="L574" s="57">
        <v>710</v>
      </c>
      <c r="M574" s="57">
        <v>710</v>
      </c>
      <c r="N574" s="57">
        <v>710</v>
      </c>
    </row>
    <row r="575" spans="2:15" x14ac:dyDescent="0.2">
      <c r="B575" s="60"/>
      <c r="C575" s="59"/>
      <c r="D575" s="263" t="s">
        <v>375</v>
      </c>
      <c r="E575" s="276"/>
      <c r="F575" s="276"/>
      <c r="G575" s="67">
        <f>G576+G586+G589</f>
        <v>4134687</v>
      </c>
      <c r="H575" s="67">
        <f t="shared" ref="H575:K575" si="235">H576+H586+H589</f>
        <v>5869921</v>
      </c>
      <c r="I575" s="67">
        <f t="shared" si="235"/>
        <v>6125036</v>
      </c>
      <c r="J575" s="67">
        <f t="shared" si="235"/>
        <v>6072899.1699999999</v>
      </c>
      <c r="K575" s="67">
        <f t="shared" si="235"/>
        <v>6111721.1799999997</v>
      </c>
      <c r="L575" s="67">
        <f>L576+L586+L589</f>
        <v>6423822</v>
      </c>
      <c r="M575" s="67">
        <f t="shared" ref="M575" si="236">M576+M586+M589</f>
        <v>6943962</v>
      </c>
      <c r="N575" s="67">
        <f t="shared" ref="N575" si="237">N576+N586+N589</f>
        <v>7160312</v>
      </c>
    </row>
    <row r="576" spans="2:15" x14ac:dyDescent="0.2">
      <c r="B576" s="60"/>
      <c r="C576" s="59"/>
      <c r="D576" s="59"/>
      <c r="E576" s="263" t="s">
        <v>159</v>
      </c>
      <c r="F576" s="263"/>
      <c r="G576" s="66">
        <f>SUM(G577:G585)</f>
        <v>1489884</v>
      </c>
      <c r="H576" s="66">
        <f t="shared" ref="H576:K576" si="238">SUM(H577:H585)</f>
        <v>1587091</v>
      </c>
      <c r="I576" s="66">
        <f t="shared" si="238"/>
        <v>1889586</v>
      </c>
      <c r="J576" s="66">
        <f t="shared" si="238"/>
        <v>2222594.1800000002</v>
      </c>
      <c r="K576" s="66">
        <f t="shared" si="238"/>
        <v>2576379.7400000002</v>
      </c>
      <c r="L576" s="66">
        <f>SUM(L577:L585)</f>
        <v>2522145</v>
      </c>
      <c r="M576" s="66">
        <f t="shared" ref="M576" si="239">SUM(M577:M585)</f>
        <v>2730772</v>
      </c>
      <c r="N576" s="66">
        <f t="shared" ref="N576" si="240">SUM(N577:N585)</f>
        <v>2595312</v>
      </c>
    </row>
    <row r="577" spans="2:14" x14ac:dyDescent="0.2">
      <c r="B577" s="60"/>
      <c r="C577" s="59"/>
      <c r="D577" s="59"/>
      <c r="E577" s="59"/>
      <c r="F577" s="139" t="s">
        <v>160</v>
      </c>
      <c r="G577" s="105">
        <v>230566</v>
      </c>
      <c r="H577" s="57">
        <v>221155</v>
      </c>
      <c r="I577" s="57">
        <v>301599</v>
      </c>
      <c r="J577" s="57">
        <v>227414.58</v>
      </c>
      <c r="K577" s="57">
        <v>239472.75</v>
      </c>
      <c r="L577" s="57">
        <v>299114</v>
      </c>
      <c r="M577" s="57">
        <v>315441</v>
      </c>
      <c r="N577" s="57">
        <v>316623</v>
      </c>
    </row>
    <row r="578" spans="2:14" x14ac:dyDescent="0.2">
      <c r="B578" s="60"/>
      <c r="C578" s="59"/>
      <c r="D578" s="59"/>
      <c r="E578" s="59"/>
      <c r="F578" s="139" t="s">
        <v>201</v>
      </c>
      <c r="G578" s="105">
        <v>1041171</v>
      </c>
      <c r="H578" s="57">
        <v>1015330</v>
      </c>
      <c r="I578" s="57">
        <v>1192821</v>
      </c>
      <c r="J578" s="57">
        <v>1437526.18</v>
      </c>
      <c r="K578" s="57">
        <v>1590002.76</v>
      </c>
      <c r="L578" s="57">
        <v>1688781</v>
      </c>
      <c r="M578" s="57">
        <v>1756731</v>
      </c>
      <c r="N578" s="57">
        <v>1607439</v>
      </c>
    </row>
    <row r="579" spans="2:14" x14ac:dyDescent="0.2">
      <c r="B579" s="60"/>
      <c r="C579" s="59"/>
      <c r="D579" s="59"/>
      <c r="E579" s="59"/>
      <c r="F579" s="139" t="s">
        <v>161</v>
      </c>
      <c r="G579" s="105">
        <v>0</v>
      </c>
      <c r="H579" s="105">
        <v>0</v>
      </c>
      <c r="I579" s="105">
        <v>0</v>
      </c>
      <c r="J579" s="105">
        <v>0</v>
      </c>
      <c r="K579" s="57">
        <v>551.54</v>
      </c>
      <c r="L579" s="57">
        <v>0</v>
      </c>
      <c r="M579" s="57">
        <v>3000</v>
      </c>
      <c r="N579" s="57">
        <v>0</v>
      </c>
    </row>
    <row r="580" spans="2:14" x14ac:dyDescent="0.2">
      <c r="B580" s="60"/>
      <c r="C580" s="59"/>
      <c r="D580" s="59"/>
      <c r="E580" s="59"/>
      <c r="F580" s="139" t="s">
        <v>179</v>
      </c>
      <c r="G580" s="105">
        <v>188831</v>
      </c>
      <c r="H580" s="57">
        <v>310585</v>
      </c>
      <c r="I580" s="57">
        <v>353645</v>
      </c>
      <c r="J580" s="57">
        <v>519592.52</v>
      </c>
      <c r="K580" s="57">
        <v>705673.64</v>
      </c>
      <c r="L580" s="57">
        <v>480000</v>
      </c>
      <c r="M580" s="57">
        <v>616000</v>
      </c>
      <c r="N580" s="57">
        <v>620000</v>
      </c>
    </row>
    <row r="581" spans="2:14" x14ac:dyDescent="0.2">
      <c r="B581" s="60"/>
      <c r="C581" s="59"/>
      <c r="D581" s="59"/>
      <c r="E581" s="59"/>
      <c r="F581" s="139" t="s">
        <v>202</v>
      </c>
      <c r="G581" s="105">
        <v>6863</v>
      </c>
      <c r="H581" s="57">
        <v>8733</v>
      </c>
      <c r="I581" s="57">
        <v>7432</v>
      </c>
      <c r="J581" s="57">
        <v>9501.89</v>
      </c>
      <c r="K581" s="57">
        <v>11307.18</v>
      </c>
      <c r="L581" s="57">
        <v>10000</v>
      </c>
      <c r="M581" s="57">
        <v>11000</v>
      </c>
      <c r="N581" s="57">
        <v>12000</v>
      </c>
    </row>
    <row r="582" spans="2:14" x14ac:dyDescent="0.2">
      <c r="B582" s="60"/>
      <c r="C582" s="59"/>
      <c r="D582" s="59"/>
      <c r="E582" s="59"/>
      <c r="F582" s="139" t="s">
        <v>205</v>
      </c>
      <c r="G582" s="105">
        <v>4750</v>
      </c>
      <c r="H582" s="57">
        <v>5250</v>
      </c>
      <c r="I582" s="57">
        <v>6300</v>
      </c>
      <c r="J582" s="57">
        <v>6650</v>
      </c>
      <c r="K582" s="57">
        <v>7700</v>
      </c>
      <c r="L582" s="57">
        <v>7000</v>
      </c>
      <c r="M582" s="57">
        <v>6650</v>
      </c>
      <c r="N582" s="57">
        <v>7000</v>
      </c>
    </row>
    <row r="583" spans="2:14" x14ac:dyDescent="0.2">
      <c r="B583" s="60"/>
      <c r="C583" s="59"/>
      <c r="D583" s="59"/>
      <c r="E583" s="59"/>
      <c r="F583" s="139" t="s">
        <v>172</v>
      </c>
      <c r="G583" s="105">
        <v>10278</v>
      </c>
      <c r="H583" s="57">
        <v>18588</v>
      </c>
      <c r="I583" s="57">
        <v>13289</v>
      </c>
      <c r="J583" s="57">
        <v>3959.01</v>
      </c>
      <c r="K583" s="57">
        <v>2721.87</v>
      </c>
      <c r="L583" s="57">
        <v>10000</v>
      </c>
      <c r="M583" s="57">
        <v>3500</v>
      </c>
      <c r="N583" s="57">
        <v>5000</v>
      </c>
    </row>
    <row r="584" spans="2:14" x14ac:dyDescent="0.2">
      <c r="B584" s="60"/>
      <c r="C584" s="59"/>
      <c r="D584" s="59"/>
      <c r="E584" s="59"/>
      <c r="F584" s="139" t="s">
        <v>196</v>
      </c>
      <c r="G584" s="105">
        <v>7425</v>
      </c>
      <c r="H584" s="57">
        <v>7450</v>
      </c>
      <c r="I584" s="57">
        <v>7500</v>
      </c>
      <c r="J584" s="57">
        <v>8250</v>
      </c>
      <c r="K584" s="57">
        <v>9250</v>
      </c>
      <c r="L584" s="57">
        <v>9250</v>
      </c>
      <c r="M584" s="57">
        <v>8750</v>
      </c>
      <c r="N584" s="57">
        <v>9250</v>
      </c>
    </row>
    <row r="585" spans="2:14" x14ac:dyDescent="0.2">
      <c r="B585" s="60"/>
      <c r="C585" s="59"/>
      <c r="D585" s="59"/>
      <c r="E585" s="59"/>
      <c r="F585" s="139" t="s">
        <v>203</v>
      </c>
      <c r="G585" s="105">
        <v>0</v>
      </c>
      <c r="H585" s="57">
        <v>0</v>
      </c>
      <c r="I585" s="57">
        <v>7000</v>
      </c>
      <c r="J585" s="57">
        <v>9700</v>
      </c>
      <c r="K585" s="57">
        <v>9700</v>
      </c>
      <c r="L585" s="57">
        <v>18000</v>
      </c>
      <c r="M585" s="57">
        <v>9700</v>
      </c>
      <c r="N585" s="57">
        <v>18000</v>
      </c>
    </row>
    <row r="586" spans="2:14" x14ac:dyDescent="0.2">
      <c r="B586" s="60"/>
      <c r="C586" s="59"/>
      <c r="D586" s="59"/>
      <c r="E586" s="261" t="s">
        <v>181</v>
      </c>
      <c r="F586" s="261"/>
      <c r="G586" s="64">
        <f>SUM(G587:G588)</f>
        <v>4949</v>
      </c>
      <c r="H586" s="64">
        <f t="shared" ref="H586:N586" si="241">SUM(H587:H588)</f>
        <v>2163</v>
      </c>
      <c r="I586" s="64">
        <f t="shared" si="241"/>
        <v>0</v>
      </c>
      <c r="J586" s="64">
        <f t="shared" si="241"/>
        <v>1226.3800000000001</v>
      </c>
      <c r="K586" s="64">
        <f t="shared" si="241"/>
        <v>0</v>
      </c>
      <c r="L586" s="64">
        <f t="shared" si="241"/>
        <v>0</v>
      </c>
      <c r="M586" s="64">
        <f t="shared" si="241"/>
        <v>0</v>
      </c>
      <c r="N586" s="64">
        <f t="shared" si="241"/>
        <v>0</v>
      </c>
    </row>
    <row r="587" spans="2:14" x14ac:dyDescent="0.2">
      <c r="B587" s="60"/>
      <c r="C587" s="59"/>
      <c r="D587" s="59"/>
      <c r="E587" s="59"/>
      <c r="F587" s="139" t="s">
        <v>163</v>
      </c>
      <c r="G587" s="105">
        <v>96</v>
      </c>
      <c r="H587" s="57">
        <v>2163</v>
      </c>
      <c r="I587" s="57">
        <v>0</v>
      </c>
      <c r="J587" s="57">
        <v>1226.3800000000001</v>
      </c>
      <c r="K587" s="57">
        <v>0</v>
      </c>
      <c r="L587" s="57">
        <v>0</v>
      </c>
      <c r="M587" s="57">
        <v>0</v>
      </c>
      <c r="N587" s="57">
        <v>0</v>
      </c>
    </row>
    <row r="588" spans="2:14" x14ac:dyDescent="0.2">
      <c r="B588" s="60"/>
      <c r="C588" s="59"/>
      <c r="D588" s="59"/>
      <c r="E588" s="59"/>
      <c r="F588" s="136" t="s">
        <v>186</v>
      </c>
      <c r="G588" s="105">
        <v>4853</v>
      </c>
      <c r="H588" s="105">
        <v>0</v>
      </c>
      <c r="I588" s="105">
        <v>0</v>
      </c>
      <c r="J588" s="105">
        <v>0</v>
      </c>
      <c r="K588" s="57">
        <v>0</v>
      </c>
      <c r="L588" s="57">
        <v>0</v>
      </c>
      <c r="M588" s="105">
        <v>0</v>
      </c>
      <c r="N588" s="57">
        <v>0</v>
      </c>
    </row>
    <row r="589" spans="2:14" x14ac:dyDescent="0.2">
      <c r="B589" s="60"/>
      <c r="C589" s="59"/>
      <c r="D589" s="59"/>
      <c r="E589" s="261" t="s">
        <v>170</v>
      </c>
      <c r="F589" s="261"/>
      <c r="G589" s="61">
        <f>SUM(G590:G600)</f>
        <v>2639854</v>
      </c>
      <c r="H589" s="61">
        <f t="shared" ref="H589:N589" si="242">SUM(H590:H600)</f>
        <v>4280667</v>
      </c>
      <c r="I589" s="61">
        <f t="shared" si="242"/>
        <v>4235450</v>
      </c>
      <c r="J589" s="61">
        <f t="shared" si="242"/>
        <v>3849078.61</v>
      </c>
      <c r="K589" s="61">
        <f t="shared" si="242"/>
        <v>3535341.44</v>
      </c>
      <c r="L589" s="61">
        <f t="shared" si="242"/>
        <v>3901677</v>
      </c>
      <c r="M589" s="61">
        <f t="shared" si="242"/>
        <v>4213190</v>
      </c>
      <c r="N589" s="61">
        <f t="shared" si="242"/>
        <v>4565000</v>
      </c>
    </row>
    <row r="590" spans="2:14" x14ac:dyDescent="0.2">
      <c r="B590" s="60"/>
      <c r="C590" s="59"/>
      <c r="D590" s="59"/>
      <c r="E590" s="59"/>
      <c r="F590" s="139" t="s">
        <v>207</v>
      </c>
      <c r="G590" s="105">
        <v>1799950</v>
      </c>
      <c r="H590" s="57">
        <v>3051292</v>
      </c>
      <c r="I590" s="57">
        <v>3149396</v>
      </c>
      <c r="J590" s="57">
        <f>2651586.24+65757.97+100.4</f>
        <v>2717444.6100000003</v>
      </c>
      <c r="K590" s="57">
        <v>2055041.6199999999</v>
      </c>
      <c r="L590" s="57">
        <v>2155102</v>
      </c>
      <c r="M590" s="57">
        <v>2334650</v>
      </c>
      <c r="N590" s="57">
        <v>2575500</v>
      </c>
    </row>
    <row r="591" spans="2:14" x14ac:dyDescent="0.2">
      <c r="B591" s="60"/>
      <c r="C591" s="59"/>
      <c r="D591" s="59"/>
      <c r="E591" s="59"/>
      <c r="F591" s="139" t="s">
        <v>208</v>
      </c>
      <c r="G591" s="105">
        <v>1551473</v>
      </c>
      <c r="H591" s="57">
        <v>1676262</v>
      </c>
      <c r="I591" s="57">
        <v>1744451</v>
      </c>
      <c r="J591" s="57">
        <f>743059.65+1082985.44</f>
        <v>1826045.0899999999</v>
      </c>
      <c r="K591" s="57">
        <v>1979023.8900000001</v>
      </c>
      <c r="L591" s="57">
        <v>2300000</v>
      </c>
      <c r="M591" s="57">
        <v>2350000</v>
      </c>
      <c r="N591" s="57">
        <v>2475000</v>
      </c>
    </row>
    <row r="592" spans="2:14" x14ac:dyDescent="0.2">
      <c r="B592" s="60"/>
      <c r="C592" s="59"/>
      <c r="D592" s="59"/>
      <c r="E592" s="59"/>
      <c r="F592" s="139" t="s">
        <v>165</v>
      </c>
      <c r="G592" s="105">
        <v>1139</v>
      </c>
      <c r="H592" s="57">
        <v>1035</v>
      </c>
      <c r="I592" s="57">
        <v>1106</v>
      </c>
      <c r="J592" s="57">
        <f>975.02</f>
        <v>975.02</v>
      </c>
      <c r="K592" s="57">
        <v>1111.23</v>
      </c>
      <c r="L592" s="57">
        <v>1500</v>
      </c>
      <c r="M592" s="57">
        <v>1200</v>
      </c>
      <c r="N592" s="57">
        <v>1500</v>
      </c>
    </row>
    <row r="593" spans="2:14" x14ac:dyDescent="0.2">
      <c r="B593" s="60"/>
      <c r="C593" s="59"/>
      <c r="D593" s="59"/>
      <c r="E593" s="59"/>
      <c r="F593" s="139" t="s">
        <v>166</v>
      </c>
      <c r="G593" s="105">
        <v>184849</v>
      </c>
      <c r="H593" s="57">
        <v>243403</v>
      </c>
      <c r="I593" s="57">
        <v>242420</v>
      </c>
      <c r="J593" s="57">
        <f>25381+10071+6704.7+121479.57+10556.64+29690.77+49954.57+24414.56</f>
        <v>278252.81000000006</v>
      </c>
      <c r="K593" s="57">
        <v>150178.00999999998</v>
      </c>
      <c r="L593" s="57">
        <v>196075</v>
      </c>
      <c r="M593" s="57">
        <v>202990</v>
      </c>
      <c r="N593" s="57">
        <v>215000</v>
      </c>
    </row>
    <row r="594" spans="2:14" x14ac:dyDescent="0.2">
      <c r="B594" s="60"/>
      <c r="C594" s="59"/>
      <c r="D594" s="59"/>
      <c r="E594" s="59"/>
      <c r="F594" s="139" t="s">
        <v>187</v>
      </c>
      <c r="G594" s="105">
        <v>0</v>
      </c>
      <c r="H594" s="57">
        <v>0</v>
      </c>
      <c r="I594" s="57">
        <v>0</v>
      </c>
      <c r="J594" s="57">
        <v>10899.14</v>
      </c>
      <c r="K594" s="57">
        <v>12044.56</v>
      </c>
      <c r="L594" s="57">
        <v>29500</v>
      </c>
      <c r="M594" s="57">
        <v>17550</v>
      </c>
      <c r="N594" s="57">
        <v>22500</v>
      </c>
    </row>
    <row r="595" spans="2:14" x14ac:dyDescent="0.2">
      <c r="B595" s="60"/>
      <c r="C595" s="59"/>
      <c r="D595" s="59"/>
      <c r="E595" s="59"/>
      <c r="F595" s="139" t="s">
        <v>197</v>
      </c>
      <c r="G595" s="105">
        <v>3748</v>
      </c>
      <c r="H595" s="57">
        <v>3459</v>
      </c>
      <c r="I595" s="57">
        <v>4303</v>
      </c>
      <c r="J595" s="57">
        <v>3964.15</v>
      </c>
      <c r="K595" s="57">
        <v>3783.07</v>
      </c>
      <c r="L595" s="57">
        <v>6000</v>
      </c>
      <c r="M595" s="57">
        <v>4800</v>
      </c>
      <c r="N595" s="57">
        <v>5000</v>
      </c>
    </row>
    <row r="596" spans="2:14" x14ac:dyDescent="0.2">
      <c r="B596" s="60"/>
      <c r="C596" s="59"/>
      <c r="D596" s="59"/>
      <c r="E596" s="59"/>
      <c r="F596" s="139" t="s">
        <v>168</v>
      </c>
      <c r="G596" s="105">
        <v>0</v>
      </c>
      <c r="H596" s="57">
        <v>404</v>
      </c>
      <c r="I596" s="57">
        <v>5296</v>
      </c>
      <c r="J596" s="57">
        <v>403.13</v>
      </c>
      <c r="K596" s="57">
        <v>18149</v>
      </c>
      <c r="L596" s="57">
        <v>18000</v>
      </c>
      <c r="M596" s="57">
        <v>16500</v>
      </c>
      <c r="N596" s="57">
        <v>10000</v>
      </c>
    </row>
    <row r="597" spans="2:14" x14ac:dyDescent="0.2">
      <c r="B597" s="60"/>
      <c r="C597" s="59"/>
      <c r="D597" s="59"/>
      <c r="E597" s="59"/>
      <c r="F597" s="139" t="s">
        <v>189</v>
      </c>
      <c r="G597" s="105">
        <v>0</v>
      </c>
      <c r="H597" s="57">
        <v>0</v>
      </c>
      <c r="I597" s="57">
        <v>0</v>
      </c>
      <c r="J597" s="57">
        <v>0</v>
      </c>
      <c r="K597" s="57">
        <v>0</v>
      </c>
      <c r="L597" s="57">
        <v>500</v>
      </c>
      <c r="M597" s="57">
        <v>500</v>
      </c>
      <c r="N597" s="57">
        <v>500</v>
      </c>
    </row>
    <row r="598" spans="2:14" x14ac:dyDescent="0.2">
      <c r="B598" s="60"/>
      <c r="C598" s="59"/>
      <c r="D598" s="59"/>
      <c r="E598" s="59"/>
      <c r="F598" s="139" t="s">
        <v>177</v>
      </c>
      <c r="G598" s="105">
        <v>-372608</v>
      </c>
      <c r="H598" s="57">
        <v>-540546</v>
      </c>
      <c r="I598" s="57">
        <v>-457613</v>
      </c>
      <c r="J598" s="57">
        <v>-743811.51</v>
      </c>
      <c r="K598" s="57">
        <v>-339980.6</v>
      </c>
      <c r="L598" s="57">
        <v>-380000</v>
      </c>
      <c r="M598" s="57">
        <v>-345000</v>
      </c>
      <c r="N598" s="57">
        <v>-360000</v>
      </c>
    </row>
    <row r="599" spans="2:14" x14ac:dyDescent="0.2">
      <c r="B599" s="60"/>
      <c r="C599" s="59"/>
      <c r="D599" s="59"/>
      <c r="E599" s="59"/>
      <c r="F599" s="139" t="s">
        <v>209</v>
      </c>
      <c r="G599" s="105">
        <v>-258844</v>
      </c>
      <c r="H599" s="57">
        <v>-61188</v>
      </c>
      <c r="I599" s="57">
        <v>-127854</v>
      </c>
      <c r="J599" s="57">
        <v>-147667.29999999999</v>
      </c>
      <c r="K599" s="57">
        <v>-102770.77</v>
      </c>
      <c r="L599" s="57">
        <v>-175000</v>
      </c>
      <c r="M599" s="57">
        <v>-120000</v>
      </c>
      <c r="N599" s="57">
        <v>-120000</v>
      </c>
    </row>
    <row r="600" spans="2:14" x14ac:dyDescent="0.2">
      <c r="B600" s="60"/>
      <c r="C600" s="59"/>
      <c r="D600" s="59"/>
      <c r="E600" s="59"/>
      <c r="F600" s="139" t="s">
        <v>210</v>
      </c>
      <c r="G600" s="105">
        <v>-269853</v>
      </c>
      <c r="H600" s="57">
        <v>-93454</v>
      </c>
      <c r="I600" s="57">
        <v>-326055</v>
      </c>
      <c r="J600" s="57">
        <v>-97426.53</v>
      </c>
      <c r="K600" s="57">
        <v>-241238.57</v>
      </c>
      <c r="L600" s="57">
        <v>-250000</v>
      </c>
      <c r="M600" s="57">
        <v>-250000</v>
      </c>
      <c r="N600" s="57">
        <v>-260000</v>
      </c>
    </row>
    <row r="601" spans="2:14" x14ac:dyDescent="0.2">
      <c r="B601" s="60"/>
      <c r="C601" s="59"/>
      <c r="D601" s="263" t="s">
        <v>376</v>
      </c>
      <c r="E601" s="276"/>
      <c r="F601" s="276"/>
      <c r="G601" s="67">
        <f>G602+G610</f>
        <v>2847873</v>
      </c>
      <c r="H601" s="67">
        <f t="shared" ref="H601:K601" si="243">H602+H610</f>
        <v>2928358</v>
      </c>
      <c r="I601" s="67">
        <f t="shared" si="243"/>
        <v>3121826</v>
      </c>
      <c r="J601" s="67">
        <f t="shared" si="243"/>
        <v>2877580.7700000005</v>
      </c>
      <c r="K601" s="67">
        <f t="shared" si="243"/>
        <v>3789532.82</v>
      </c>
      <c r="L601" s="67">
        <f>L602+L610</f>
        <v>4305785</v>
      </c>
      <c r="M601" s="67">
        <f t="shared" ref="M601" si="244">M602+M610</f>
        <v>4744806</v>
      </c>
      <c r="N601" s="67">
        <f t="shared" ref="N601" si="245">N602+N610</f>
        <v>4771016</v>
      </c>
    </row>
    <row r="602" spans="2:14" x14ac:dyDescent="0.2">
      <c r="B602" s="60"/>
      <c r="C602" s="59"/>
      <c r="D602" s="59"/>
      <c r="E602" s="275" t="s">
        <v>159</v>
      </c>
      <c r="F602" s="275"/>
      <c r="G602" s="66">
        <f>SUM(G603:G609)</f>
        <v>2071326</v>
      </c>
      <c r="H602" s="66">
        <f t="shared" ref="H602:J602" si="246">SUM(H603:H609)</f>
        <v>2002276</v>
      </c>
      <c r="I602" s="66">
        <f t="shared" si="246"/>
        <v>2146471</v>
      </c>
      <c r="J602" s="66">
        <f t="shared" si="246"/>
        <v>2326807.8400000003</v>
      </c>
      <c r="K602" s="66">
        <f t="shared" ref="K602" si="247">SUM(K603:K609)</f>
        <v>2429382.79</v>
      </c>
      <c r="L602" s="66">
        <f t="shared" ref="L602" si="248">SUM(L603:L609)</f>
        <v>2667207</v>
      </c>
      <c r="M602" s="66">
        <f t="shared" ref="M602" si="249">SUM(M603:M609)</f>
        <v>2954306</v>
      </c>
      <c r="N602" s="66">
        <f t="shared" ref="N602" si="250">SUM(N603:N609)</f>
        <v>2842916</v>
      </c>
    </row>
    <row r="603" spans="2:14" x14ac:dyDescent="0.2">
      <c r="B603" s="60"/>
      <c r="C603" s="59"/>
      <c r="D603" s="59"/>
      <c r="E603" s="59"/>
      <c r="F603" s="139" t="s">
        <v>160</v>
      </c>
      <c r="G603" s="105">
        <v>76882</v>
      </c>
      <c r="H603" s="57">
        <v>80397</v>
      </c>
      <c r="I603" s="57">
        <v>88420</v>
      </c>
      <c r="J603" s="57">
        <v>62253.14</v>
      </c>
      <c r="K603" s="57">
        <v>65821</v>
      </c>
      <c r="L603" s="57">
        <v>106066</v>
      </c>
      <c r="M603" s="57">
        <v>113534</v>
      </c>
      <c r="N603" s="57">
        <v>113886</v>
      </c>
    </row>
    <row r="604" spans="2:14" x14ac:dyDescent="0.2">
      <c r="B604" s="60"/>
      <c r="C604" s="59"/>
      <c r="D604" s="59"/>
      <c r="E604" s="59"/>
      <c r="F604" s="139" t="s">
        <v>201</v>
      </c>
      <c r="G604" s="105">
        <v>1610148</v>
      </c>
      <c r="H604" s="57">
        <v>1451943</v>
      </c>
      <c r="I604" s="57">
        <v>1579282</v>
      </c>
      <c r="J604" s="57">
        <v>1759042.31</v>
      </c>
      <c r="K604" s="57">
        <v>1639756.79</v>
      </c>
      <c r="L604" s="57">
        <v>2070741</v>
      </c>
      <c r="M604" s="57">
        <v>2133976</v>
      </c>
      <c r="N604" s="57">
        <v>2097030</v>
      </c>
    </row>
    <row r="605" spans="2:14" x14ac:dyDescent="0.2">
      <c r="B605" s="60"/>
      <c r="C605" s="59"/>
      <c r="D605" s="59"/>
      <c r="E605" s="59"/>
      <c r="F605" s="139" t="s">
        <v>161</v>
      </c>
      <c r="G605" s="105">
        <v>0</v>
      </c>
      <c r="H605" s="57">
        <v>14201</v>
      </c>
      <c r="I605" s="57">
        <v>3722</v>
      </c>
      <c r="J605" s="57">
        <v>0</v>
      </c>
      <c r="K605" s="57">
        <v>0</v>
      </c>
      <c r="L605" s="57">
        <v>0</v>
      </c>
      <c r="M605" s="57">
        <v>0</v>
      </c>
      <c r="N605" s="57">
        <v>0</v>
      </c>
    </row>
    <row r="606" spans="2:14" x14ac:dyDescent="0.2">
      <c r="B606" s="60"/>
      <c r="C606" s="59"/>
      <c r="D606" s="59"/>
      <c r="E606" s="59"/>
      <c r="F606" s="139" t="s">
        <v>179</v>
      </c>
      <c r="G606" s="105">
        <v>351220</v>
      </c>
      <c r="H606" s="57">
        <v>419632</v>
      </c>
      <c r="I606" s="57">
        <v>433891</v>
      </c>
      <c r="J606" s="57">
        <v>457305.11</v>
      </c>
      <c r="K606" s="57">
        <v>691442</v>
      </c>
      <c r="L606" s="57">
        <v>450000</v>
      </c>
      <c r="M606" s="57">
        <v>672000</v>
      </c>
      <c r="N606" s="57">
        <v>600000</v>
      </c>
    </row>
    <row r="607" spans="2:14" x14ac:dyDescent="0.2">
      <c r="B607" s="60"/>
      <c r="C607" s="59"/>
      <c r="D607" s="59"/>
      <c r="E607" s="59"/>
      <c r="F607" s="139" t="s">
        <v>202</v>
      </c>
      <c r="G607" s="105">
        <v>30202</v>
      </c>
      <c r="H607" s="57">
        <v>30244</v>
      </c>
      <c r="I607" s="57">
        <v>28050</v>
      </c>
      <c r="J607" s="57">
        <v>28588.93</v>
      </c>
      <c r="K607" s="57">
        <v>28746</v>
      </c>
      <c r="L607" s="57">
        <v>30000</v>
      </c>
      <c r="M607" s="57">
        <v>30656</v>
      </c>
      <c r="N607" s="57">
        <v>28000</v>
      </c>
    </row>
    <row r="608" spans="2:14" x14ac:dyDescent="0.2">
      <c r="B608" s="60"/>
      <c r="C608" s="59"/>
      <c r="D608" s="59"/>
      <c r="E608" s="59"/>
      <c r="F608" s="139" t="s">
        <v>172</v>
      </c>
      <c r="G608" s="105">
        <v>2874</v>
      </c>
      <c r="H608" s="57">
        <v>5859</v>
      </c>
      <c r="I608" s="57">
        <v>7306</v>
      </c>
      <c r="J608" s="57">
        <v>15618.35</v>
      </c>
      <c r="K608" s="57">
        <v>1417</v>
      </c>
      <c r="L608" s="57">
        <v>5000</v>
      </c>
      <c r="M608" s="57">
        <v>1500</v>
      </c>
      <c r="N608" s="57">
        <v>2000</v>
      </c>
    </row>
    <row r="609" spans="2:14" x14ac:dyDescent="0.2">
      <c r="B609" s="60"/>
      <c r="C609" s="59"/>
      <c r="D609" s="59"/>
      <c r="E609" s="59"/>
      <c r="F609" s="139" t="s">
        <v>203</v>
      </c>
      <c r="G609" s="105">
        <v>0</v>
      </c>
      <c r="H609" s="57">
        <v>0</v>
      </c>
      <c r="I609" s="57">
        <v>5800</v>
      </c>
      <c r="J609" s="57">
        <v>4000</v>
      </c>
      <c r="K609" s="57">
        <v>2200</v>
      </c>
      <c r="L609" s="57">
        <v>5400</v>
      </c>
      <c r="M609" s="57">
        <v>2640</v>
      </c>
      <c r="N609" s="57">
        <v>2000</v>
      </c>
    </row>
    <row r="610" spans="2:14" x14ac:dyDescent="0.2">
      <c r="B610" s="60"/>
      <c r="C610" s="59"/>
      <c r="D610" s="59"/>
      <c r="E610" s="261" t="s">
        <v>170</v>
      </c>
      <c r="F610" s="261"/>
      <c r="G610" s="61">
        <f>SUM(G611:G612)</f>
        <v>776547</v>
      </c>
      <c r="H610" s="61">
        <f t="shared" ref="H610:N610" si="251">SUM(H611:H612)</f>
        <v>926082</v>
      </c>
      <c r="I610" s="61">
        <f t="shared" si="251"/>
        <v>975355</v>
      </c>
      <c r="J610" s="61">
        <f t="shared" si="251"/>
        <v>550772.93000000005</v>
      </c>
      <c r="K610" s="61">
        <f t="shared" si="251"/>
        <v>1360150.0299999998</v>
      </c>
      <c r="L610" s="61">
        <f t="shared" si="251"/>
        <v>1638578</v>
      </c>
      <c r="M610" s="61">
        <f t="shared" si="251"/>
        <v>1790500</v>
      </c>
      <c r="N610" s="61">
        <f t="shared" si="251"/>
        <v>1928100</v>
      </c>
    </row>
    <row r="611" spans="2:14" x14ac:dyDescent="0.2">
      <c r="B611" s="60"/>
      <c r="C611" s="59"/>
      <c r="D611" s="59"/>
      <c r="E611" s="59"/>
      <c r="F611" s="139" t="s">
        <v>166</v>
      </c>
      <c r="G611" s="105">
        <v>776547</v>
      </c>
      <c r="H611" s="57">
        <v>926082</v>
      </c>
      <c r="I611" s="57">
        <v>975355</v>
      </c>
      <c r="J611" s="57">
        <f>13543.3+55800+471338.63+10091</f>
        <v>550772.93000000005</v>
      </c>
      <c r="K611" s="57">
        <v>1360150.0299999998</v>
      </c>
      <c r="L611" s="57">
        <v>1597328</v>
      </c>
      <c r="M611" s="57">
        <v>1768900</v>
      </c>
      <c r="N611" s="57">
        <v>1928100</v>
      </c>
    </row>
    <row r="612" spans="2:14" x14ac:dyDescent="0.2">
      <c r="B612" s="60"/>
      <c r="C612" s="59"/>
      <c r="D612" s="59"/>
      <c r="E612" s="59"/>
      <c r="F612" s="139" t="s">
        <v>167</v>
      </c>
      <c r="G612" s="105">
        <v>0</v>
      </c>
      <c r="H612" s="57">
        <v>0</v>
      </c>
      <c r="I612" s="57">
        <v>0</v>
      </c>
      <c r="J612" s="57">
        <v>0</v>
      </c>
      <c r="K612" s="57">
        <v>0</v>
      </c>
      <c r="L612" s="57">
        <v>41250</v>
      </c>
      <c r="M612" s="57">
        <v>21600</v>
      </c>
      <c r="N612" s="57">
        <v>0</v>
      </c>
    </row>
    <row r="613" spans="2:14" x14ac:dyDescent="0.2">
      <c r="B613" s="60"/>
      <c r="C613" s="59"/>
      <c r="D613" s="268" t="s">
        <v>377</v>
      </c>
      <c r="E613" s="269"/>
      <c r="F613" s="269"/>
      <c r="G613" s="72">
        <f>G614+G623</f>
        <v>6879676</v>
      </c>
      <c r="H613" s="72">
        <f>H614+H623</f>
        <v>7184584</v>
      </c>
      <c r="I613" s="72">
        <f t="shared" ref="I613:N613" si="252">I614+I623</f>
        <v>7444231</v>
      </c>
      <c r="J613" s="72">
        <f t="shared" si="252"/>
        <v>7683235.8499999996</v>
      </c>
      <c r="K613" s="72">
        <f t="shared" si="252"/>
        <v>7691997.9799999995</v>
      </c>
      <c r="L613" s="72">
        <f t="shared" si="252"/>
        <v>7983033</v>
      </c>
      <c r="M613" s="72">
        <f t="shared" si="252"/>
        <v>8469250</v>
      </c>
      <c r="N613" s="72">
        <f t="shared" si="252"/>
        <v>8703919</v>
      </c>
    </row>
    <row r="614" spans="2:14" x14ac:dyDescent="0.2">
      <c r="B614" s="60"/>
      <c r="C614" s="59"/>
      <c r="D614" s="59"/>
      <c r="E614" s="263" t="s">
        <v>159</v>
      </c>
      <c r="F614" s="263"/>
      <c r="G614" s="66">
        <f>SUM(G615:G622)</f>
        <v>2936019</v>
      </c>
      <c r="H614" s="66">
        <f t="shared" ref="H614:J614" si="253">SUM(H615:H622)</f>
        <v>3210507</v>
      </c>
      <c r="I614" s="66">
        <f t="shared" si="253"/>
        <v>3598848</v>
      </c>
      <c r="J614" s="66">
        <f t="shared" si="253"/>
        <v>3870967.82</v>
      </c>
      <c r="K614" s="66">
        <f t="shared" ref="K614" si="254">SUM(K615:K622)</f>
        <v>3918056.9999999995</v>
      </c>
      <c r="L614" s="66">
        <f t="shared" ref="L614" si="255">SUM(L615:L622)</f>
        <v>4238267</v>
      </c>
      <c r="M614" s="66">
        <f t="shared" ref="M614:N614" si="256">SUM(M615:M622)</f>
        <v>4368553</v>
      </c>
      <c r="N614" s="66">
        <f t="shared" si="256"/>
        <v>4298569</v>
      </c>
    </row>
    <row r="615" spans="2:14" x14ac:dyDescent="0.2">
      <c r="B615" s="60"/>
      <c r="C615" s="59"/>
      <c r="D615" s="59"/>
      <c r="E615" s="59"/>
      <c r="F615" s="139" t="s">
        <v>160</v>
      </c>
      <c r="G615" s="105">
        <v>65579</v>
      </c>
      <c r="H615" s="57">
        <v>75007</v>
      </c>
      <c r="I615" s="57">
        <v>150255</v>
      </c>
      <c r="J615" s="57">
        <v>145001.03</v>
      </c>
      <c r="K615" s="57">
        <v>185931.11</v>
      </c>
      <c r="L615" s="57">
        <v>222620</v>
      </c>
      <c r="M615" s="57">
        <v>216469</v>
      </c>
      <c r="N615" s="57">
        <v>217766</v>
      </c>
    </row>
    <row r="616" spans="2:14" x14ac:dyDescent="0.2">
      <c r="B616" s="60"/>
      <c r="C616" s="59"/>
      <c r="D616" s="59"/>
      <c r="E616" s="59"/>
      <c r="F616" s="139" t="s">
        <v>201</v>
      </c>
      <c r="G616" s="105">
        <v>2714178</v>
      </c>
      <c r="H616" s="57">
        <v>2818998</v>
      </c>
      <c r="I616" s="57">
        <v>3131175</v>
      </c>
      <c r="J616" s="57">
        <v>3366570.67</v>
      </c>
      <c r="K616" s="57">
        <v>3292385.26</v>
      </c>
      <c r="L616" s="57">
        <v>3663097</v>
      </c>
      <c r="M616" s="57">
        <v>3715559</v>
      </c>
      <c r="N616" s="57">
        <v>3672378</v>
      </c>
    </row>
    <row r="617" spans="2:14" x14ac:dyDescent="0.2">
      <c r="B617" s="60"/>
      <c r="C617" s="59"/>
      <c r="D617" s="59"/>
      <c r="E617" s="59"/>
      <c r="F617" s="139" t="s">
        <v>161</v>
      </c>
      <c r="G617" s="105">
        <v>283</v>
      </c>
      <c r="H617" s="57">
        <v>71695</v>
      </c>
      <c r="I617" s="57">
        <v>51519</v>
      </c>
      <c r="J617" s="57">
        <v>51984.5</v>
      </c>
      <c r="K617" s="57">
        <v>50797.45</v>
      </c>
      <c r="L617" s="57">
        <v>69750</v>
      </c>
      <c r="M617" s="57">
        <v>67425</v>
      </c>
      <c r="N617" s="57">
        <v>67425</v>
      </c>
    </row>
    <row r="618" spans="2:14" x14ac:dyDescent="0.2">
      <c r="B618" s="60"/>
      <c r="C618" s="59"/>
      <c r="D618" s="59"/>
      <c r="E618" s="59"/>
      <c r="F618" s="139" t="s">
        <v>179</v>
      </c>
      <c r="G618" s="105">
        <v>128862</v>
      </c>
      <c r="H618" s="57">
        <v>210591</v>
      </c>
      <c r="I618" s="57">
        <v>216652</v>
      </c>
      <c r="J618" s="57">
        <v>237927.2</v>
      </c>
      <c r="K618" s="57">
        <v>322741.34000000003</v>
      </c>
      <c r="L618" s="57">
        <v>210000</v>
      </c>
      <c r="M618" s="57">
        <v>310000</v>
      </c>
      <c r="N618" s="57">
        <v>275000</v>
      </c>
    </row>
    <row r="619" spans="2:14" x14ac:dyDescent="0.2">
      <c r="B619" s="60"/>
      <c r="C619" s="59"/>
      <c r="D619" s="59"/>
      <c r="E619" s="59"/>
      <c r="F619" s="139" t="s">
        <v>202</v>
      </c>
      <c r="G619" s="105">
        <v>292</v>
      </c>
      <c r="H619" s="57">
        <v>1871</v>
      </c>
      <c r="I619" s="57">
        <v>127</v>
      </c>
      <c r="J619" s="57">
        <v>265.37</v>
      </c>
      <c r="K619" s="57">
        <v>595.07000000000005</v>
      </c>
      <c r="L619" s="57">
        <v>300</v>
      </c>
      <c r="M619" s="57">
        <v>500</v>
      </c>
      <c r="N619" s="57">
        <v>500</v>
      </c>
    </row>
    <row r="620" spans="2:14" x14ac:dyDescent="0.2">
      <c r="B620" s="60"/>
      <c r="C620" s="59"/>
      <c r="D620" s="59"/>
      <c r="E620" s="59"/>
      <c r="F620" s="139" t="s">
        <v>172</v>
      </c>
      <c r="G620" s="105">
        <v>5600</v>
      </c>
      <c r="H620" s="57">
        <v>12620</v>
      </c>
      <c r="I620" s="57">
        <v>4820</v>
      </c>
      <c r="J620" s="57">
        <v>10469.049999999999</v>
      </c>
      <c r="K620" s="57">
        <v>8006.77</v>
      </c>
      <c r="L620" s="57">
        <v>12000</v>
      </c>
      <c r="M620" s="57">
        <v>2000</v>
      </c>
      <c r="N620" s="57">
        <v>5000</v>
      </c>
    </row>
    <row r="621" spans="2:14" x14ac:dyDescent="0.2">
      <c r="B621" s="60"/>
      <c r="C621" s="59"/>
      <c r="D621" s="59"/>
      <c r="E621" s="59"/>
      <c r="F621" s="139" t="s">
        <v>196</v>
      </c>
      <c r="G621" s="105">
        <v>21225</v>
      </c>
      <c r="H621" s="57">
        <v>19725</v>
      </c>
      <c r="I621" s="57">
        <v>22500</v>
      </c>
      <c r="J621" s="57">
        <v>24250</v>
      </c>
      <c r="K621" s="57">
        <v>24500</v>
      </c>
      <c r="L621" s="57">
        <v>24500</v>
      </c>
      <c r="M621" s="57">
        <v>23000</v>
      </c>
      <c r="N621" s="57">
        <v>24500</v>
      </c>
    </row>
    <row r="622" spans="2:14" x14ac:dyDescent="0.2">
      <c r="B622" s="60"/>
      <c r="C622" s="59"/>
      <c r="D622" s="59"/>
      <c r="E622" s="59"/>
      <c r="F622" s="139" t="s">
        <v>203</v>
      </c>
      <c r="G622" s="105">
        <v>0</v>
      </c>
      <c r="H622" s="57">
        <v>0</v>
      </c>
      <c r="I622" s="57">
        <v>21800</v>
      </c>
      <c r="J622" s="57">
        <v>34500</v>
      </c>
      <c r="K622" s="57">
        <v>33100</v>
      </c>
      <c r="L622" s="57">
        <v>36000</v>
      </c>
      <c r="M622" s="57">
        <v>33600</v>
      </c>
      <c r="N622" s="57">
        <v>36000</v>
      </c>
    </row>
    <row r="623" spans="2:14" x14ac:dyDescent="0.2">
      <c r="B623" s="60"/>
      <c r="C623" s="59"/>
      <c r="D623" s="59"/>
      <c r="E623" s="261" t="s">
        <v>170</v>
      </c>
      <c r="F623" s="261"/>
      <c r="G623" s="61">
        <f>SUM(G624:G627)</f>
        <v>3943657</v>
      </c>
      <c r="H623" s="61">
        <f t="shared" ref="H623:M623" si="257">SUM(H624:H627)</f>
        <v>3974077</v>
      </c>
      <c r="I623" s="61">
        <f t="shared" si="257"/>
        <v>3845383</v>
      </c>
      <c r="J623" s="61">
        <f t="shared" si="257"/>
        <v>3812268.0300000003</v>
      </c>
      <c r="K623" s="61">
        <f t="shared" si="257"/>
        <v>3773940.98</v>
      </c>
      <c r="L623" s="61">
        <f t="shared" si="257"/>
        <v>3744766</v>
      </c>
      <c r="M623" s="61">
        <f t="shared" si="257"/>
        <v>4100697</v>
      </c>
      <c r="N623" s="61">
        <f>SUM(N625:N627)</f>
        <v>4405350</v>
      </c>
    </row>
    <row r="624" spans="2:14" x14ac:dyDescent="0.2">
      <c r="B624" s="60"/>
      <c r="C624" s="59"/>
      <c r="D624" s="59"/>
      <c r="E624" s="137"/>
      <c r="F624" s="139" t="s">
        <v>165</v>
      </c>
      <c r="G624" s="62">
        <v>0</v>
      </c>
      <c r="H624" s="57">
        <v>0</v>
      </c>
      <c r="I624" s="57">
        <v>0</v>
      </c>
      <c r="J624" s="57">
        <v>0</v>
      </c>
      <c r="K624" s="62">
        <v>762</v>
      </c>
      <c r="L624" s="62">
        <v>0</v>
      </c>
      <c r="M624" s="62">
        <v>0</v>
      </c>
      <c r="N624" s="62">
        <v>0</v>
      </c>
    </row>
    <row r="625" spans="2:15" x14ac:dyDescent="0.2">
      <c r="B625" s="60"/>
      <c r="C625" s="59"/>
      <c r="D625" s="59"/>
      <c r="E625" s="59"/>
      <c r="F625" s="139" t="s">
        <v>166</v>
      </c>
      <c r="G625" s="105">
        <v>3936627</v>
      </c>
      <c r="H625" s="57">
        <v>3911830</v>
      </c>
      <c r="I625" s="57">
        <v>3788024</v>
      </c>
      <c r="J625" s="57">
        <f>2358.35+66242.16+86120+1161.58+4565.05+3582522.56</f>
        <v>3742969.7</v>
      </c>
      <c r="K625" s="57">
        <v>3713017</v>
      </c>
      <c r="L625" s="57">
        <v>3591166</v>
      </c>
      <c r="M625" s="57">
        <v>4027430</v>
      </c>
      <c r="N625" s="57">
        <v>4192850</v>
      </c>
      <c r="O625" s="12" t="s">
        <v>552</v>
      </c>
    </row>
    <row r="626" spans="2:15" x14ac:dyDescent="0.2">
      <c r="B626" s="60"/>
      <c r="C626" s="59"/>
      <c r="D626" s="59"/>
      <c r="E626" s="59"/>
      <c r="F626" s="139" t="s">
        <v>197</v>
      </c>
      <c r="G626" s="105">
        <v>7030</v>
      </c>
      <c r="H626" s="57">
        <v>9512</v>
      </c>
      <c r="I626" s="57">
        <v>11359</v>
      </c>
      <c r="J626" s="57">
        <v>10964.99</v>
      </c>
      <c r="K626" s="57">
        <v>8992.16</v>
      </c>
      <c r="L626" s="57">
        <v>13000</v>
      </c>
      <c r="M626" s="57">
        <v>11600</v>
      </c>
      <c r="N626" s="57">
        <v>12500</v>
      </c>
    </row>
    <row r="627" spans="2:15" x14ac:dyDescent="0.2">
      <c r="B627" s="60"/>
      <c r="C627" s="59"/>
      <c r="D627" s="59"/>
      <c r="E627" s="59"/>
      <c r="F627" s="139" t="s">
        <v>167</v>
      </c>
      <c r="G627" s="105">
        <v>0</v>
      </c>
      <c r="H627" s="57">
        <v>52735</v>
      </c>
      <c r="I627" s="57">
        <v>46000</v>
      </c>
      <c r="J627" s="57">
        <v>58333.34</v>
      </c>
      <c r="K627" s="57">
        <v>51169.82</v>
      </c>
      <c r="L627" s="57">
        <v>140600</v>
      </c>
      <c r="M627" s="57">
        <v>61667</v>
      </c>
      <c r="N627" s="57">
        <v>200000</v>
      </c>
    </row>
    <row r="628" spans="2:15" x14ac:dyDescent="0.2">
      <c r="B628" s="60"/>
      <c r="C628" s="59"/>
      <c r="D628" s="263" t="s">
        <v>378</v>
      </c>
      <c r="E628" s="276"/>
      <c r="F628" s="276"/>
      <c r="G628" s="67">
        <f>G629+G638</f>
        <v>1008275</v>
      </c>
      <c r="H628" s="67">
        <f t="shared" ref="H628:N628" si="258">H629+H638</f>
        <v>1450313</v>
      </c>
      <c r="I628" s="67">
        <f t="shared" si="258"/>
        <v>1365322</v>
      </c>
      <c r="J628" s="67">
        <f t="shared" si="258"/>
        <v>1321951.27</v>
      </c>
      <c r="K628" s="67">
        <f t="shared" si="258"/>
        <v>1368585.96</v>
      </c>
      <c r="L628" s="67">
        <f t="shared" si="258"/>
        <v>1528872</v>
      </c>
      <c r="M628" s="67">
        <f t="shared" si="258"/>
        <v>1528384</v>
      </c>
      <c r="N628" s="67">
        <f t="shared" si="258"/>
        <v>1570874</v>
      </c>
    </row>
    <row r="629" spans="2:15" x14ac:dyDescent="0.2">
      <c r="B629" s="60"/>
      <c r="C629" s="59"/>
      <c r="D629" s="59"/>
      <c r="E629" s="263" t="s">
        <v>159</v>
      </c>
      <c r="F629" s="263"/>
      <c r="G629" s="66">
        <f>SUM(G630:G637)</f>
        <v>897899</v>
      </c>
      <c r="H629" s="66">
        <f t="shared" ref="H629:J629" si="259">SUM(H630:H637)</f>
        <v>1127352</v>
      </c>
      <c r="I629" s="66">
        <f t="shared" si="259"/>
        <v>1131705</v>
      </c>
      <c r="J629" s="66">
        <f t="shared" si="259"/>
        <v>1112696.49</v>
      </c>
      <c r="K629" s="66">
        <f>SUM(K630:K637)</f>
        <v>1127889.23</v>
      </c>
      <c r="L629" s="66">
        <f t="shared" ref="L629" si="260">SUM(L630:L637)</f>
        <v>1271348</v>
      </c>
      <c r="M629" s="66">
        <f t="shared" ref="M629" si="261">SUM(M630:M637)</f>
        <v>1261833</v>
      </c>
      <c r="N629" s="66">
        <f>SUM(N630:N637)</f>
        <v>1283623</v>
      </c>
    </row>
    <row r="630" spans="2:15" x14ac:dyDescent="0.2">
      <c r="B630" s="60"/>
      <c r="C630" s="59"/>
      <c r="D630" s="59"/>
      <c r="E630" s="59"/>
      <c r="F630" s="139" t="s">
        <v>160</v>
      </c>
      <c r="G630" s="105">
        <v>99516</v>
      </c>
      <c r="H630" s="57">
        <v>114588</v>
      </c>
      <c r="I630" s="57">
        <v>118627</v>
      </c>
      <c r="J630" s="57">
        <v>73419.08</v>
      </c>
      <c r="K630" s="227">
        <v>161600</v>
      </c>
      <c r="L630" s="227">
        <v>102324</v>
      </c>
      <c r="M630" s="57">
        <v>111239</v>
      </c>
      <c r="N630" s="57">
        <v>115591</v>
      </c>
    </row>
    <row r="631" spans="2:15" x14ac:dyDescent="0.2">
      <c r="B631" s="60"/>
      <c r="C631" s="59"/>
      <c r="D631" s="59"/>
      <c r="E631" s="59"/>
      <c r="F631" s="139" t="s">
        <v>201</v>
      </c>
      <c r="G631" s="105">
        <v>744607</v>
      </c>
      <c r="H631" s="57">
        <v>862242</v>
      </c>
      <c r="I631" s="57">
        <v>835078</v>
      </c>
      <c r="J631" s="57">
        <v>826857.02</v>
      </c>
      <c r="K631" s="57">
        <v>754706</v>
      </c>
      <c r="L631" s="57">
        <v>908274</v>
      </c>
      <c r="M631" s="57">
        <v>908769</v>
      </c>
      <c r="N631" s="57">
        <v>913082</v>
      </c>
    </row>
    <row r="632" spans="2:15" x14ac:dyDescent="0.2">
      <c r="B632" s="60"/>
      <c r="C632" s="59"/>
      <c r="D632" s="59"/>
      <c r="E632" s="59"/>
      <c r="F632" s="139" t="s">
        <v>161</v>
      </c>
      <c r="G632" s="105">
        <v>0</v>
      </c>
      <c r="H632" s="57">
        <v>18465</v>
      </c>
      <c r="I632" s="57">
        <v>43150</v>
      </c>
      <c r="J632" s="57">
        <v>40929</v>
      </c>
      <c r="K632" s="57">
        <v>44191.73</v>
      </c>
      <c r="L632" s="57">
        <v>81900</v>
      </c>
      <c r="M632" s="57">
        <v>47775</v>
      </c>
      <c r="N632" s="57">
        <v>68250</v>
      </c>
    </row>
    <row r="633" spans="2:15" x14ac:dyDescent="0.2">
      <c r="B633" s="60"/>
      <c r="C633" s="59"/>
      <c r="D633" s="59"/>
      <c r="E633" s="59"/>
      <c r="F633" s="139" t="s">
        <v>179</v>
      </c>
      <c r="G633" s="105">
        <v>40199</v>
      </c>
      <c r="H633" s="57">
        <v>117256</v>
      </c>
      <c r="I633" s="57">
        <v>111674</v>
      </c>
      <c r="J633" s="57">
        <v>124817.25</v>
      </c>
      <c r="K633" s="57">
        <v>137823.82</v>
      </c>
      <c r="L633" s="57">
        <v>130000</v>
      </c>
      <c r="M633" s="57">
        <v>160000</v>
      </c>
      <c r="N633" s="57">
        <v>150000</v>
      </c>
    </row>
    <row r="634" spans="2:15" x14ac:dyDescent="0.2">
      <c r="B634" s="60"/>
      <c r="C634" s="59"/>
      <c r="D634" s="59"/>
      <c r="E634" s="59"/>
      <c r="F634" s="139" t="s">
        <v>202</v>
      </c>
      <c r="G634" s="105">
        <v>633</v>
      </c>
      <c r="H634" s="57">
        <v>2189</v>
      </c>
      <c r="I634" s="57">
        <v>1346</v>
      </c>
      <c r="J634" s="57">
        <v>1680.4</v>
      </c>
      <c r="K634" s="57">
        <v>2110.5500000000002</v>
      </c>
      <c r="L634" s="57">
        <v>2000</v>
      </c>
      <c r="M634" s="57">
        <v>2500</v>
      </c>
      <c r="N634" s="57">
        <v>2700</v>
      </c>
    </row>
    <row r="635" spans="2:15" x14ac:dyDescent="0.2">
      <c r="B635" s="60"/>
      <c r="C635" s="59"/>
      <c r="D635" s="59"/>
      <c r="E635" s="59"/>
      <c r="F635" s="139" t="s">
        <v>172</v>
      </c>
      <c r="G635" s="105">
        <v>3994</v>
      </c>
      <c r="H635" s="57">
        <v>2912</v>
      </c>
      <c r="I635" s="57">
        <v>2380</v>
      </c>
      <c r="J635" s="57">
        <v>12693.74</v>
      </c>
      <c r="K635" s="57">
        <v>5607.13</v>
      </c>
      <c r="L635" s="57">
        <v>7000</v>
      </c>
      <c r="M635" s="57">
        <v>3000</v>
      </c>
      <c r="N635" s="57">
        <v>4500</v>
      </c>
    </row>
    <row r="636" spans="2:15" x14ac:dyDescent="0.2">
      <c r="B636" s="60"/>
      <c r="C636" s="59"/>
      <c r="D636" s="59"/>
      <c r="E636" s="59"/>
      <c r="F636" s="139" t="s">
        <v>196</v>
      </c>
      <c r="G636" s="105">
        <v>8950</v>
      </c>
      <c r="H636" s="57">
        <v>9700</v>
      </c>
      <c r="I636" s="57">
        <v>10250</v>
      </c>
      <c r="J636" s="57">
        <v>11000</v>
      </c>
      <c r="K636" s="57">
        <v>8750</v>
      </c>
      <c r="L636" s="57">
        <v>18250</v>
      </c>
      <c r="M636" s="57">
        <v>11750</v>
      </c>
      <c r="N636" s="57">
        <v>12500</v>
      </c>
    </row>
    <row r="637" spans="2:15" x14ac:dyDescent="0.2">
      <c r="B637" s="60"/>
      <c r="C637" s="59"/>
      <c r="D637" s="59"/>
      <c r="E637" s="59"/>
      <c r="F637" s="139" t="s">
        <v>203</v>
      </c>
      <c r="G637" s="105">
        <v>0</v>
      </c>
      <c r="H637" s="57">
        <v>0</v>
      </c>
      <c r="I637" s="57">
        <v>9200</v>
      </c>
      <c r="J637" s="57">
        <v>21300</v>
      </c>
      <c r="K637" s="57">
        <v>13100</v>
      </c>
      <c r="L637" s="57">
        <v>21600</v>
      </c>
      <c r="M637" s="57">
        <v>16800</v>
      </c>
      <c r="N637" s="57">
        <v>17000</v>
      </c>
    </row>
    <row r="638" spans="2:15" x14ac:dyDescent="0.2">
      <c r="B638" s="60"/>
      <c r="C638" s="59"/>
      <c r="D638" s="59"/>
      <c r="E638" s="261" t="s">
        <v>170</v>
      </c>
      <c r="F638" s="261"/>
      <c r="G638" s="61">
        <f>SUM(G639:G640)</f>
        <v>110376</v>
      </c>
      <c r="H638" s="61">
        <f t="shared" ref="H638:L638" si="262">SUM(H639:H640)</f>
        <v>322961</v>
      </c>
      <c r="I638" s="61">
        <f t="shared" si="262"/>
        <v>233617</v>
      </c>
      <c r="J638" s="61">
        <f t="shared" si="262"/>
        <v>209254.78</v>
      </c>
      <c r="K638" s="61">
        <f t="shared" si="262"/>
        <v>240696.73</v>
      </c>
      <c r="L638" s="61">
        <f t="shared" si="262"/>
        <v>257524</v>
      </c>
      <c r="M638" s="61">
        <f t="shared" ref="M638" si="263">SUM(M639:M640)</f>
        <v>266551</v>
      </c>
      <c r="N638" s="61">
        <f t="shared" ref="N638" si="264">SUM(N639:N640)</f>
        <v>287251</v>
      </c>
    </row>
    <row r="639" spans="2:15" x14ac:dyDescent="0.2">
      <c r="B639" s="60"/>
      <c r="C639" s="59"/>
      <c r="D639" s="59"/>
      <c r="E639" s="59"/>
      <c r="F639" s="139" t="s">
        <v>166</v>
      </c>
      <c r="G639" s="105">
        <v>105773</v>
      </c>
      <c r="H639" s="57">
        <v>316131</v>
      </c>
      <c r="I639" s="57">
        <v>226952</v>
      </c>
      <c r="J639" s="57">
        <v>202340.79</v>
      </c>
      <c r="K639" s="57">
        <v>236904.21000000002</v>
      </c>
      <c r="L639" s="57">
        <v>247524</v>
      </c>
      <c r="M639" s="57">
        <v>260751</v>
      </c>
      <c r="N639" s="57">
        <v>280751</v>
      </c>
    </row>
    <row r="640" spans="2:15" x14ac:dyDescent="0.2">
      <c r="B640" s="60"/>
      <c r="C640" s="59"/>
      <c r="D640" s="59"/>
      <c r="E640" s="59"/>
      <c r="F640" s="139" t="s">
        <v>197</v>
      </c>
      <c r="G640" s="105">
        <v>4603</v>
      </c>
      <c r="H640" s="57">
        <v>6830</v>
      </c>
      <c r="I640" s="57">
        <v>6665</v>
      </c>
      <c r="J640" s="57">
        <v>6913.99</v>
      </c>
      <c r="K640" s="57">
        <v>3792.52</v>
      </c>
      <c r="L640" s="57">
        <v>10000</v>
      </c>
      <c r="M640" s="57">
        <v>5800</v>
      </c>
      <c r="N640" s="57">
        <v>6500</v>
      </c>
    </row>
    <row r="641" spans="2:15" x14ac:dyDescent="0.2">
      <c r="B641" s="60"/>
      <c r="C641" s="59"/>
      <c r="D641" s="263" t="s">
        <v>379</v>
      </c>
      <c r="E641" s="276"/>
      <c r="F641" s="276"/>
      <c r="G641" s="67">
        <f>G642+G652</f>
        <v>4784694</v>
      </c>
      <c r="H641" s="67">
        <f t="shared" ref="H641:J641" si="265">H642+H652</f>
        <v>5360721</v>
      </c>
      <c r="I641" s="67">
        <f t="shared" si="265"/>
        <v>6176683</v>
      </c>
      <c r="J641" s="67">
        <f t="shared" si="265"/>
        <v>6426366.6399999987</v>
      </c>
      <c r="K641" s="67">
        <f t="shared" ref="K641" si="266">K642+K652</f>
        <v>7658306.4600000009</v>
      </c>
      <c r="L641" s="67">
        <f t="shared" ref="L641" si="267">L642+L652</f>
        <v>8011998</v>
      </c>
      <c r="M641" s="67">
        <f t="shared" ref="M641:N641" si="268">M642+M652</f>
        <v>7505577</v>
      </c>
      <c r="N641" s="67">
        <f t="shared" si="268"/>
        <v>9151324</v>
      </c>
      <c r="O641" s="12" t="s">
        <v>553</v>
      </c>
    </row>
    <row r="642" spans="2:15" x14ac:dyDescent="0.2">
      <c r="B642" s="60"/>
      <c r="C642" s="59"/>
      <c r="D642" s="59"/>
      <c r="E642" s="263" t="s">
        <v>159</v>
      </c>
      <c r="F642" s="263"/>
      <c r="G642" s="66">
        <f>SUM(G643:G651)</f>
        <v>860598</v>
      </c>
      <c r="H642" s="66">
        <f t="shared" ref="H642:J642" si="269">SUM(H643:H651)</f>
        <v>961234</v>
      </c>
      <c r="I642" s="66">
        <f t="shared" si="269"/>
        <v>1132156</v>
      </c>
      <c r="J642" s="66">
        <f t="shared" si="269"/>
        <v>1172124.3900000001</v>
      </c>
      <c r="K642" s="66">
        <f>SUM(K643:K651)</f>
        <v>1464188.5</v>
      </c>
      <c r="L642" s="66">
        <f t="shared" ref="L642" si="270">SUM(L643:L651)</f>
        <v>1519140</v>
      </c>
      <c r="M642" s="66">
        <f t="shared" ref="M642" si="271">SUM(M643:M651)</f>
        <v>1507382</v>
      </c>
      <c r="N642" s="66">
        <f t="shared" ref="N642" si="272">SUM(N643:N651)</f>
        <v>1572350</v>
      </c>
    </row>
    <row r="643" spans="2:15" x14ac:dyDescent="0.2">
      <c r="B643" s="60"/>
      <c r="C643" s="59"/>
      <c r="D643" s="59"/>
      <c r="E643" s="59"/>
      <c r="F643" s="139" t="s">
        <v>160</v>
      </c>
      <c r="G643" s="105">
        <v>214869</v>
      </c>
      <c r="H643" s="57">
        <v>234580</v>
      </c>
      <c r="I643" s="57">
        <v>257268</v>
      </c>
      <c r="J643" s="57">
        <v>241122.71</v>
      </c>
      <c r="K643" s="57">
        <v>282006</v>
      </c>
      <c r="L643" s="57">
        <v>266197</v>
      </c>
      <c r="M643" s="57">
        <v>284428</v>
      </c>
      <c r="N643" s="57">
        <v>182782</v>
      </c>
    </row>
    <row r="644" spans="2:15" x14ac:dyDescent="0.2">
      <c r="B644" s="60"/>
      <c r="C644" s="59"/>
      <c r="D644" s="59"/>
      <c r="E644" s="59"/>
      <c r="F644" s="139" t="s">
        <v>201</v>
      </c>
      <c r="G644" s="105">
        <v>613249</v>
      </c>
      <c r="H644" s="57">
        <v>649068</v>
      </c>
      <c r="I644" s="57">
        <v>754880</v>
      </c>
      <c r="J644" s="57">
        <v>790719.53</v>
      </c>
      <c r="K644" s="57">
        <v>979549</v>
      </c>
      <c r="L644" s="57">
        <v>1047193</v>
      </c>
      <c r="M644" s="57">
        <v>1062254</v>
      </c>
      <c r="N644" s="57">
        <v>1163328</v>
      </c>
    </row>
    <row r="645" spans="2:15" x14ac:dyDescent="0.2">
      <c r="B645" s="60"/>
      <c r="C645" s="59"/>
      <c r="D645" s="59"/>
      <c r="E645" s="59"/>
      <c r="F645" s="139" t="s">
        <v>161</v>
      </c>
      <c r="G645" s="105">
        <v>0</v>
      </c>
      <c r="H645" s="57">
        <v>40658</v>
      </c>
      <c r="I645" s="57">
        <v>65724</v>
      </c>
      <c r="J645" s="57">
        <v>41486.57</v>
      </c>
      <c r="K645" s="57">
        <v>70570.53</v>
      </c>
      <c r="L645" s="57">
        <v>80600</v>
      </c>
      <c r="M645" s="57">
        <v>40300</v>
      </c>
      <c r="N645" s="57">
        <v>80600</v>
      </c>
    </row>
    <row r="646" spans="2:15" x14ac:dyDescent="0.2">
      <c r="B646" s="60"/>
      <c r="C646" s="59"/>
      <c r="D646" s="59"/>
      <c r="E646" s="59"/>
      <c r="F646" s="139" t="s">
        <v>179</v>
      </c>
      <c r="G646" s="105">
        <v>14815</v>
      </c>
      <c r="H646" s="57">
        <v>28277</v>
      </c>
      <c r="I646" s="57">
        <v>39125</v>
      </c>
      <c r="J646" s="57">
        <v>58173.71</v>
      </c>
      <c r="K646" s="57">
        <v>107425.96</v>
      </c>
      <c r="L646" s="57">
        <v>100000</v>
      </c>
      <c r="M646" s="57">
        <v>94000</v>
      </c>
      <c r="N646" s="57">
        <v>120000</v>
      </c>
    </row>
    <row r="647" spans="2:15" x14ac:dyDescent="0.2">
      <c r="B647" s="60"/>
      <c r="C647" s="59"/>
      <c r="D647" s="59"/>
      <c r="E647" s="59"/>
      <c r="F647" s="139" t="s">
        <v>184</v>
      </c>
      <c r="G647" s="105">
        <v>2124</v>
      </c>
      <c r="H647" s="57">
        <v>2208</v>
      </c>
      <c r="I647" s="57">
        <v>533</v>
      </c>
      <c r="J647" s="57">
        <v>0</v>
      </c>
      <c r="K647" s="57">
        <v>0</v>
      </c>
      <c r="L647" s="57">
        <v>0</v>
      </c>
      <c r="M647" s="57">
        <v>0</v>
      </c>
      <c r="N647" s="57">
        <v>0</v>
      </c>
    </row>
    <row r="648" spans="2:15" x14ac:dyDescent="0.2">
      <c r="B648" s="60"/>
      <c r="C648" s="59"/>
      <c r="D648" s="59"/>
      <c r="E648" s="59"/>
      <c r="F648" s="139" t="s">
        <v>202</v>
      </c>
      <c r="G648" s="105">
        <v>148</v>
      </c>
      <c r="H648" s="57">
        <v>205</v>
      </c>
      <c r="I648" s="57">
        <v>347</v>
      </c>
      <c r="J648" s="57">
        <v>490.8</v>
      </c>
      <c r="K648" s="57">
        <v>1000.6</v>
      </c>
      <c r="L648" s="57">
        <v>750</v>
      </c>
      <c r="M648" s="57">
        <v>1000</v>
      </c>
      <c r="N648" s="57">
        <v>1000</v>
      </c>
    </row>
    <row r="649" spans="2:15" x14ac:dyDescent="0.2">
      <c r="B649" s="60"/>
      <c r="C649" s="59"/>
      <c r="D649" s="59"/>
      <c r="E649" s="59"/>
      <c r="F649" s="139" t="s">
        <v>172</v>
      </c>
      <c r="G649" s="105">
        <v>10943</v>
      </c>
      <c r="H649" s="57">
        <v>2788</v>
      </c>
      <c r="I649" s="57">
        <v>5879</v>
      </c>
      <c r="J649" s="57">
        <v>27931.07</v>
      </c>
      <c r="K649" s="57">
        <v>11086.41</v>
      </c>
      <c r="L649" s="57">
        <v>12000</v>
      </c>
      <c r="M649" s="57">
        <v>13000</v>
      </c>
      <c r="N649" s="57">
        <v>12000</v>
      </c>
    </row>
    <row r="650" spans="2:15" x14ac:dyDescent="0.2">
      <c r="B650" s="60"/>
      <c r="C650" s="59"/>
      <c r="D650" s="59"/>
      <c r="E650" s="59"/>
      <c r="F650" s="139" t="s">
        <v>196</v>
      </c>
      <c r="G650" s="105">
        <v>4450</v>
      </c>
      <c r="H650" s="57">
        <v>3450</v>
      </c>
      <c r="I650" s="57">
        <v>5500</v>
      </c>
      <c r="J650" s="57">
        <v>6500</v>
      </c>
      <c r="K650" s="57">
        <v>6750</v>
      </c>
      <c r="L650" s="57">
        <v>7000</v>
      </c>
      <c r="M650" s="57">
        <v>7000</v>
      </c>
      <c r="N650" s="57">
        <v>7000</v>
      </c>
    </row>
    <row r="651" spans="2:15" x14ac:dyDescent="0.2">
      <c r="B651" s="60"/>
      <c r="C651" s="59"/>
      <c r="D651" s="59"/>
      <c r="E651" s="59"/>
      <c r="F651" s="139" t="s">
        <v>203</v>
      </c>
      <c r="G651" s="105">
        <v>0</v>
      </c>
      <c r="H651" s="57">
        <v>0</v>
      </c>
      <c r="I651" s="57">
        <v>2900</v>
      </c>
      <c r="J651" s="57">
        <v>5700</v>
      </c>
      <c r="K651" s="57">
        <v>5800</v>
      </c>
      <c r="L651" s="57">
        <v>5400</v>
      </c>
      <c r="M651" s="57">
        <v>5400</v>
      </c>
      <c r="N651" s="57">
        <v>5640</v>
      </c>
    </row>
    <row r="652" spans="2:15" x14ac:dyDescent="0.2">
      <c r="B652" s="60"/>
      <c r="C652" s="59"/>
      <c r="D652" s="59"/>
      <c r="E652" s="261" t="s">
        <v>170</v>
      </c>
      <c r="F652" s="261"/>
      <c r="G652" s="61">
        <f>SUM(G653:G662)</f>
        <v>3924096</v>
      </c>
      <c r="H652" s="61">
        <f t="shared" ref="H652:J652" si="273">SUM(H653:H662)</f>
        <v>4399487</v>
      </c>
      <c r="I652" s="61">
        <f t="shared" si="273"/>
        <v>5044527</v>
      </c>
      <c r="J652" s="61">
        <f t="shared" si="273"/>
        <v>5254242.2499999991</v>
      </c>
      <c r="K652" s="61">
        <f>SUM(K653:K662)</f>
        <v>6194117.9600000009</v>
      </c>
      <c r="L652" s="61">
        <f t="shared" ref="L652" si="274">SUM(L653:L662)</f>
        <v>6492858</v>
      </c>
      <c r="M652" s="61">
        <f t="shared" ref="M652" si="275">SUM(M653:M662)</f>
        <v>5998195</v>
      </c>
      <c r="N652" s="61">
        <f>SUM(N653:N662)</f>
        <v>7578974</v>
      </c>
    </row>
    <row r="653" spans="2:15" x14ac:dyDescent="0.2">
      <c r="B653" s="60"/>
      <c r="C653" s="59"/>
      <c r="D653" s="59"/>
      <c r="E653" s="59"/>
      <c r="F653" s="139" t="s">
        <v>166</v>
      </c>
      <c r="G653" s="105">
        <v>838687</v>
      </c>
      <c r="H653" s="57">
        <v>1384710</v>
      </c>
      <c r="I653" s="57">
        <v>1432077</v>
      </c>
      <c r="J653" s="57">
        <f>892934.98+52550+450.33+124701.63+8652.06+1046899.01+8651.61</f>
        <v>2134839.6199999996</v>
      </c>
      <c r="K653" s="57">
        <v>2172028</v>
      </c>
      <c r="L653" s="57">
        <v>2790000</v>
      </c>
      <c r="M653" s="57">
        <v>2340000</v>
      </c>
      <c r="N653" s="57">
        <v>3697000</v>
      </c>
    </row>
    <row r="654" spans="2:15" x14ac:dyDescent="0.2">
      <c r="B654" s="60"/>
      <c r="C654" s="59"/>
      <c r="D654" s="59"/>
      <c r="E654" s="59"/>
      <c r="F654" s="139" t="s">
        <v>187</v>
      </c>
      <c r="G654" s="105">
        <v>0</v>
      </c>
      <c r="H654" s="57">
        <v>0</v>
      </c>
      <c r="I654" s="57">
        <v>0</v>
      </c>
      <c r="J654" s="57">
        <v>240.1</v>
      </c>
      <c r="K654" s="57">
        <v>309.88</v>
      </c>
      <c r="L654" s="57">
        <v>3500</v>
      </c>
      <c r="M654" s="57">
        <v>1300</v>
      </c>
      <c r="N654" s="57">
        <v>3000</v>
      </c>
    </row>
    <row r="655" spans="2:15" x14ac:dyDescent="0.2">
      <c r="B655" s="60"/>
      <c r="C655" s="59"/>
      <c r="D655" s="59"/>
      <c r="E655" s="59"/>
      <c r="F655" s="139" t="s">
        <v>197</v>
      </c>
      <c r="G655" s="105">
        <v>800</v>
      </c>
      <c r="H655" s="57">
        <v>1453</v>
      </c>
      <c r="I655" s="57">
        <v>2061</v>
      </c>
      <c r="J655" s="57">
        <v>2931.02</v>
      </c>
      <c r="K655" s="57">
        <v>2065.9499999999998</v>
      </c>
      <c r="L655" s="57">
        <v>3200</v>
      </c>
      <c r="M655" s="57">
        <v>2500</v>
      </c>
      <c r="N655" s="57">
        <v>3200</v>
      </c>
    </row>
    <row r="656" spans="2:15" x14ac:dyDescent="0.2">
      <c r="B656" s="60"/>
      <c r="C656" s="59"/>
      <c r="D656" s="59"/>
      <c r="E656" s="59"/>
      <c r="F656" s="139" t="s">
        <v>178</v>
      </c>
      <c r="G656" s="105">
        <v>1133232</v>
      </c>
      <c r="H656" s="57">
        <v>1079421</v>
      </c>
      <c r="I656" s="57">
        <v>1324666</v>
      </c>
      <c r="J656" s="57">
        <f>751515.39+270938.83</f>
        <v>1022454.22</v>
      </c>
      <c r="K656" s="57">
        <v>1320980.75</v>
      </c>
      <c r="L656" s="57">
        <v>1232095</v>
      </c>
      <c r="M656" s="57">
        <v>1397012</v>
      </c>
      <c r="N656" s="57">
        <v>1468608</v>
      </c>
    </row>
    <row r="657" spans="2:14" x14ac:dyDescent="0.2">
      <c r="B657" s="60"/>
      <c r="C657" s="59"/>
      <c r="D657" s="59"/>
      <c r="E657" s="59"/>
      <c r="F657" s="139" t="s">
        <v>167</v>
      </c>
      <c r="G657" s="105">
        <v>1931151</v>
      </c>
      <c r="H657" s="57">
        <v>2319231</v>
      </c>
      <c r="I657" s="57">
        <v>2211349</v>
      </c>
      <c r="J657" s="57">
        <v>1987177.73</v>
      </c>
      <c r="K657" s="57">
        <v>2556736.54</v>
      </c>
      <c r="L657" s="57">
        <v>2357311</v>
      </c>
      <c r="M657" s="57">
        <v>2221300</v>
      </c>
      <c r="N657" s="57">
        <v>2385517</v>
      </c>
    </row>
    <row r="658" spans="2:14" x14ac:dyDescent="0.2">
      <c r="B658" s="60"/>
      <c r="C658" s="59"/>
      <c r="D658" s="59"/>
      <c r="E658" s="59"/>
      <c r="F658" s="139" t="s">
        <v>168</v>
      </c>
      <c r="G658" s="105">
        <v>0</v>
      </c>
      <c r="H658" s="57">
        <v>0</v>
      </c>
      <c r="I658" s="57">
        <v>0</v>
      </c>
      <c r="J658" s="57">
        <v>0</v>
      </c>
      <c r="K658" s="57">
        <v>2700</v>
      </c>
      <c r="L658" s="57">
        <v>1500</v>
      </c>
      <c r="M658" s="57">
        <v>500</v>
      </c>
      <c r="N658" s="57">
        <v>1000</v>
      </c>
    </row>
    <row r="659" spans="2:14" x14ac:dyDescent="0.2">
      <c r="B659" s="60"/>
      <c r="C659" s="59"/>
      <c r="D659" s="59"/>
      <c r="E659" s="59"/>
      <c r="F659" s="139" t="s">
        <v>175</v>
      </c>
      <c r="G659" s="105">
        <v>0</v>
      </c>
      <c r="H659" s="57">
        <v>0</v>
      </c>
      <c r="I659" s="57">
        <v>59560</v>
      </c>
      <c r="J659" s="57">
        <v>82235.02</v>
      </c>
      <c r="K659" s="57">
        <v>122037</v>
      </c>
      <c r="L659" s="57">
        <v>112762</v>
      </c>
      <c r="M659" s="57">
        <v>18096</v>
      </c>
      <c r="N659" s="57">
        <v>3159</v>
      </c>
    </row>
    <row r="660" spans="2:14" x14ac:dyDescent="0.2">
      <c r="B660" s="60"/>
      <c r="C660" s="59"/>
      <c r="D660" s="59"/>
      <c r="E660" s="59"/>
      <c r="F660" s="139" t="s">
        <v>176</v>
      </c>
      <c r="G660" s="105">
        <v>2989</v>
      </c>
      <c r="H660" s="57">
        <v>448</v>
      </c>
      <c r="I660" s="57">
        <v>-6</v>
      </c>
      <c r="J660" s="57">
        <v>342.22</v>
      </c>
      <c r="K660" s="57">
        <v>22.4</v>
      </c>
      <c r="L660" s="57">
        <v>0</v>
      </c>
      <c r="M660" s="57">
        <v>0</v>
      </c>
      <c r="N660" s="57">
        <v>0</v>
      </c>
    </row>
    <row r="661" spans="2:14" x14ac:dyDescent="0.2">
      <c r="B661" s="60"/>
      <c r="C661" s="59"/>
      <c r="D661" s="59"/>
      <c r="E661" s="59"/>
      <c r="F661" s="139" t="s">
        <v>189</v>
      </c>
      <c r="G661" s="105">
        <v>17237</v>
      </c>
      <c r="H661" s="57">
        <v>14400</v>
      </c>
      <c r="I661" s="57">
        <v>14820</v>
      </c>
      <c r="J661" s="57">
        <v>24022.32</v>
      </c>
      <c r="K661" s="57">
        <v>17237.439999999999</v>
      </c>
      <c r="L661" s="57">
        <v>17490</v>
      </c>
      <c r="M661" s="57">
        <v>17487</v>
      </c>
      <c r="N661" s="57">
        <v>17490</v>
      </c>
    </row>
    <row r="662" spans="2:14" x14ac:dyDescent="0.2">
      <c r="B662" s="60"/>
      <c r="C662" s="59"/>
      <c r="D662" s="59"/>
      <c r="E662" s="59"/>
      <c r="F662" s="139" t="s">
        <v>177</v>
      </c>
      <c r="G662" s="105">
        <v>0</v>
      </c>
      <c r="H662" s="57">
        <v>-400176</v>
      </c>
      <c r="I662" s="57">
        <v>0</v>
      </c>
      <c r="J662" s="57">
        <v>0</v>
      </c>
      <c r="K662" s="57">
        <v>0</v>
      </c>
      <c r="L662" s="57">
        <v>-25000</v>
      </c>
      <c r="M662" s="57">
        <v>0</v>
      </c>
      <c r="N662" s="57">
        <v>0</v>
      </c>
    </row>
    <row r="663" spans="2:14" x14ac:dyDescent="0.2">
      <c r="B663" s="60"/>
      <c r="C663" s="270" t="s">
        <v>380</v>
      </c>
      <c r="D663" s="270"/>
      <c r="E663" s="270"/>
      <c r="F663" s="270"/>
      <c r="G663" s="64">
        <f>G664+G692</f>
        <v>42889077</v>
      </c>
      <c r="H663" s="64">
        <f t="shared" ref="H663:J663" si="276">H664+H692</f>
        <v>47984888</v>
      </c>
      <c r="I663" s="64">
        <f t="shared" si="276"/>
        <v>53352446</v>
      </c>
      <c r="J663" s="64">
        <f t="shared" si="276"/>
        <v>57740580.57</v>
      </c>
      <c r="K663" s="64">
        <f>K664+K692</f>
        <v>62948448.829999998</v>
      </c>
      <c r="L663" s="64">
        <f t="shared" ref="L663" si="277">L664+L692</f>
        <v>62234298</v>
      </c>
      <c r="M663" s="64">
        <f t="shared" ref="M663" si="278">M664+M692</f>
        <v>63734099</v>
      </c>
      <c r="N663" s="64">
        <f t="shared" ref="N663" si="279">N664+N692</f>
        <v>63746688</v>
      </c>
    </row>
    <row r="664" spans="2:14" x14ac:dyDescent="0.2">
      <c r="B664" s="60"/>
      <c r="C664" s="59"/>
      <c r="D664" s="263" t="s">
        <v>211</v>
      </c>
      <c r="E664" s="276"/>
      <c r="F664" s="276"/>
      <c r="G664" s="67">
        <f>G665+G677+G680</f>
        <v>39040325</v>
      </c>
      <c r="H664" s="67">
        <f t="shared" ref="H664:J664" si="280">H665+H677+H680</f>
        <v>43965018</v>
      </c>
      <c r="I664" s="67">
        <f t="shared" si="280"/>
        <v>47945721</v>
      </c>
      <c r="J664" s="67">
        <f t="shared" si="280"/>
        <v>52323109.789999999</v>
      </c>
      <c r="K664" s="67">
        <f>K665+K677+K680</f>
        <v>56905855.219999999</v>
      </c>
      <c r="L664" s="67">
        <f t="shared" ref="L664" si="281">L665+L677+L680</f>
        <v>54812435</v>
      </c>
      <c r="M664" s="67">
        <f t="shared" ref="M664" si="282">M665+M677+M680</f>
        <v>57036299</v>
      </c>
      <c r="N664" s="67">
        <f t="shared" ref="N664" si="283">N665+N677+N680</f>
        <v>56930396</v>
      </c>
    </row>
    <row r="665" spans="2:14" x14ac:dyDescent="0.2">
      <c r="B665" s="60"/>
      <c r="C665" s="59"/>
      <c r="D665" s="59"/>
      <c r="E665" s="263" t="s">
        <v>159</v>
      </c>
      <c r="F665" s="263"/>
      <c r="G665" s="66">
        <f>SUM(G666:G676)</f>
        <v>35340476</v>
      </c>
      <c r="H665" s="66">
        <f t="shared" ref="H665:K665" si="284">SUM(H666:H676)</f>
        <v>39114941</v>
      </c>
      <c r="I665" s="66">
        <f t="shared" si="284"/>
        <v>43032776</v>
      </c>
      <c r="J665" s="66">
        <f t="shared" si="284"/>
        <v>46242924.799999997</v>
      </c>
      <c r="K665" s="66">
        <f t="shared" si="284"/>
        <v>49731112.729999997</v>
      </c>
      <c r="L665" s="66">
        <f>SUM(L666:L676)</f>
        <v>46490700</v>
      </c>
      <c r="M665" s="66">
        <f t="shared" ref="M665" si="285">SUM(M666:M676)</f>
        <v>47860259</v>
      </c>
      <c r="N665" s="66">
        <f t="shared" ref="N665" si="286">SUM(N666:N676)</f>
        <v>48499296</v>
      </c>
    </row>
    <row r="666" spans="2:14" x14ac:dyDescent="0.2">
      <c r="B666" s="60"/>
      <c r="C666" s="59"/>
      <c r="D666" s="59"/>
      <c r="E666" s="59"/>
      <c r="F666" s="139" t="s">
        <v>160</v>
      </c>
      <c r="G666" s="105">
        <v>28827355</v>
      </c>
      <c r="H666" s="57">
        <v>30599756</v>
      </c>
      <c r="I666" s="57">
        <v>33075654</v>
      </c>
      <c r="J666" s="57">
        <v>34823710.539999999</v>
      </c>
      <c r="K666" s="57">
        <v>38979930</v>
      </c>
      <c r="L666" s="57">
        <v>38466450</v>
      </c>
      <c r="M666" s="57">
        <v>38596259</v>
      </c>
      <c r="N666" s="57">
        <v>39865725</v>
      </c>
    </row>
    <row r="667" spans="2:14" x14ac:dyDescent="0.2">
      <c r="B667" s="60"/>
      <c r="C667" s="59"/>
      <c r="D667" s="59"/>
      <c r="E667" s="59"/>
      <c r="F667" s="139" t="s">
        <v>179</v>
      </c>
      <c r="G667" s="105">
        <v>4594499</v>
      </c>
      <c r="H667" s="57">
        <v>6973052</v>
      </c>
      <c r="I667" s="57">
        <v>9083914</v>
      </c>
      <c r="J667" s="57">
        <v>9692689.1799999997</v>
      </c>
      <c r="K667" s="57">
        <v>9942323.3399999999</v>
      </c>
      <c r="L667" s="57">
        <v>5500000</v>
      </c>
      <c r="M667" s="57">
        <v>9292000</v>
      </c>
      <c r="N667" s="57">
        <v>9885800</v>
      </c>
    </row>
    <row r="668" spans="2:14" x14ac:dyDescent="0.2">
      <c r="B668" s="60"/>
      <c r="C668" s="59"/>
      <c r="D668" s="59"/>
      <c r="E668" s="59"/>
      <c r="F668" s="139" t="s">
        <v>212</v>
      </c>
      <c r="G668" s="105">
        <v>1502260</v>
      </c>
      <c r="H668" s="57">
        <v>1614721</v>
      </c>
      <c r="I668" s="57">
        <v>1572896</v>
      </c>
      <c r="J668" s="57">
        <v>1664247.1</v>
      </c>
      <c r="K668" s="57">
        <v>1752397.96</v>
      </c>
      <c r="L668" s="57">
        <v>2027000</v>
      </c>
      <c r="M668" s="57">
        <v>1840000</v>
      </c>
      <c r="N668" s="57">
        <v>1901000</v>
      </c>
    </row>
    <row r="669" spans="2:14" x14ac:dyDescent="0.2">
      <c r="B669" s="60"/>
      <c r="C669" s="59"/>
      <c r="D669" s="59"/>
      <c r="E669" s="59"/>
      <c r="F669" s="139" t="s">
        <v>202</v>
      </c>
      <c r="G669" s="105">
        <v>409180</v>
      </c>
      <c r="H669" s="57">
        <v>372548</v>
      </c>
      <c r="I669" s="57">
        <v>390317</v>
      </c>
      <c r="J669" s="57">
        <v>225076</v>
      </c>
      <c r="K669" s="57">
        <v>471222.89</v>
      </c>
      <c r="L669" s="57">
        <v>400000</v>
      </c>
      <c r="M669" s="57">
        <v>382000</v>
      </c>
      <c r="N669" s="57">
        <v>400000</v>
      </c>
    </row>
    <row r="670" spans="2:14" x14ac:dyDescent="0.2">
      <c r="B670" s="60"/>
      <c r="C670" s="59"/>
      <c r="D670" s="59"/>
      <c r="E670" s="59"/>
      <c r="F670" s="139" t="s">
        <v>196</v>
      </c>
      <c r="G670" s="105">
        <v>0</v>
      </c>
      <c r="H670" s="57">
        <v>0</v>
      </c>
      <c r="I670" s="57">
        <v>0</v>
      </c>
      <c r="J670" s="57">
        <v>282750</v>
      </c>
      <c r="K670" s="57">
        <v>288750</v>
      </c>
      <c r="L670" s="57">
        <v>317250</v>
      </c>
      <c r="M670" s="57">
        <v>310000</v>
      </c>
      <c r="N670" s="57">
        <v>303750</v>
      </c>
    </row>
    <row r="671" spans="2:14" x14ac:dyDescent="0.2">
      <c r="B671" s="60"/>
      <c r="C671" s="59"/>
      <c r="D671" s="59"/>
      <c r="E671" s="59"/>
      <c r="F671" s="139" t="s">
        <v>213</v>
      </c>
      <c r="G671" s="105">
        <v>32980</v>
      </c>
      <c r="H671" s="57">
        <v>38980</v>
      </c>
      <c r="I671" s="57">
        <v>15048</v>
      </c>
      <c r="J671" s="57">
        <v>0</v>
      </c>
      <c r="K671" s="57">
        <v>27483</v>
      </c>
      <c r="L671" s="57">
        <v>95000</v>
      </c>
      <c r="M671" s="57">
        <v>90000</v>
      </c>
      <c r="N671" s="57">
        <v>100000</v>
      </c>
    </row>
    <row r="672" spans="2:14" x14ac:dyDescent="0.2">
      <c r="B672" s="60"/>
      <c r="C672" s="59"/>
      <c r="D672" s="59"/>
      <c r="E672" s="59"/>
      <c r="F672" s="139" t="s">
        <v>203</v>
      </c>
      <c r="G672" s="105">
        <v>343200</v>
      </c>
      <c r="H672" s="57">
        <v>259200</v>
      </c>
      <c r="I672" s="57">
        <v>253200</v>
      </c>
      <c r="J672" s="57">
        <v>1073287</v>
      </c>
      <c r="K672" s="57">
        <v>77315.02</v>
      </c>
      <c r="L672" s="57">
        <v>1185000</v>
      </c>
      <c r="M672" s="57">
        <v>1150000</v>
      </c>
      <c r="N672" s="57">
        <v>1157000</v>
      </c>
    </row>
    <row r="673" spans="2:14" x14ac:dyDescent="0.2">
      <c r="B673" s="60"/>
      <c r="C673" s="59"/>
      <c r="D673" s="59"/>
      <c r="E673" s="59"/>
      <c r="F673" s="139" t="s">
        <v>214</v>
      </c>
      <c r="G673" s="105">
        <v>311095</v>
      </c>
      <c r="H673" s="57">
        <v>183295</v>
      </c>
      <c r="I673" s="57">
        <v>164284</v>
      </c>
      <c r="J673" s="57">
        <v>161208.57999999999</v>
      </c>
      <c r="K673" s="57">
        <v>245700.73</v>
      </c>
      <c r="L673" s="57">
        <v>250000</v>
      </c>
      <c r="M673" s="57">
        <v>300000</v>
      </c>
      <c r="N673" s="57">
        <v>250000</v>
      </c>
    </row>
    <row r="674" spans="2:14" x14ac:dyDescent="0.2">
      <c r="B674" s="60"/>
      <c r="C674" s="59"/>
      <c r="D674" s="59"/>
      <c r="E674" s="59"/>
      <c r="F674" s="139" t="s">
        <v>215</v>
      </c>
      <c r="G674" s="105">
        <v>299290</v>
      </c>
      <c r="H674" s="57">
        <v>356013</v>
      </c>
      <c r="I674" s="57">
        <v>362559</v>
      </c>
      <c r="J674" s="57">
        <v>246037.33</v>
      </c>
      <c r="K674" s="57">
        <v>264505.94</v>
      </c>
      <c r="L674" s="57">
        <v>0</v>
      </c>
      <c r="M674" s="57">
        <v>0</v>
      </c>
      <c r="N674" s="57">
        <v>0</v>
      </c>
    </row>
    <row r="675" spans="2:14" x14ac:dyDescent="0.2">
      <c r="B675" s="60"/>
      <c r="C675" s="59"/>
      <c r="D675" s="59"/>
      <c r="E675" s="59"/>
      <c r="F675" s="139" t="s">
        <v>173</v>
      </c>
      <c r="G675" s="105">
        <v>-12384</v>
      </c>
      <c r="H675" s="57">
        <v>-1104410</v>
      </c>
      <c r="I675" s="57">
        <v>-915846</v>
      </c>
      <c r="J675" s="57">
        <v>-2030685.33</v>
      </c>
      <c r="K675" s="57">
        <v>-1772378.31</v>
      </c>
      <c r="L675" s="57">
        <v>-1170000</v>
      </c>
      <c r="M675" s="57">
        <v>-3100000</v>
      </c>
      <c r="N675" s="57">
        <v>-4164479</v>
      </c>
    </row>
    <row r="676" spans="2:14" x14ac:dyDescent="0.2">
      <c r="B676" s="60"/>
      <c r="C676" s="59"/>
      <c r="D676" s="59"/>
      <c r="E676" s="59"/>
      <c r="F676" s="139" t="s">
        <v>174</v>
      </c>
      <c r="G676" s="105">
        <v>-966999</v>
      </c>
      <c r="H676" s="57">
        <v>-178214</v>
      </c>
      <c r="I676" s="57">
        <v>-969250</v>
      </c>
      <c r="J676" s="57">
        <v>104604.4</v>
      </c>
      <c r="K676" s="57">
        <v>-546137.84</v>
      </c>
      <c r="L676" s="57">
        <v>-580000</v>
      </c>
      <c r="M676" s="57">
        <v>-1000000</v>
      </c>
      <c r="N676" s="57">
        <v>-1199500</v>
      </c>
    </row>
    <row r="677" spans="2:14" x14ac:dyDescent="0.2">
      <c r="B677" s="60"/>
      <c r="C677" s="59"/>
      <c r="D677" s="59"/>
      <c r="E677" s="261" t="s">
        <v>162</v>
      </c>
      <c r="F677" s="261"/>
      <c r="G677" s="58">
        <f>SUM(G678:G679)</f>
        <v>151979</v>
      </c>
      <c r="H677" s="58">
        <f t="shared" ref="H677:N677" si="287">SUM(H678:H679)</f>
        <v>52512</v>
      </c>
      <c r="I677" s="58">
        <f t="shared" si="287"/>
        <v>38455</v>
      </c>
      <c r="J677" s="58">
        <f t="shared" si="287"/>
        <v>35486.25</v>
      </c>
      <c r="K677" s="58">
        <f t="shared" si="287"/>
        <v>60700.6</v>
      </c>
      <c r="L677" s="58">
        <f t="shared" si="287"/>
        <v>115000</v>
      </c>
      <c r="M677" s="58">
        <f t="shared" si="287"/>
        <v>213000</v>
      </c>
      <c r="N677" s="58">
        <f t="shared" si="287"/>
        <v>218000</v>
      </c>
    </row>
    <row r="678" spans="2:14" x14ac:dyDescent="0.2">
      <c r="B678" s="60"/>
      <c r="C678" s="59"/>
      <c r="D678" s="59"/>
      <c r="E678" s="59"/>
      <c r="F678" s="139" t="s">
        <v>163</v>
      </c>
      <c r="G678" s="105">
        <v>136909</v>
      </c>
      <c r="H678" s="63">
        <v>20485</v>
      </c>
      <c r="I678" s="63">
        <v>3338</v>
      </c>
      <c r="J678" s="63">
        <v>0</v>
      </c>
      <c r="K678" s="63">
        <v>0</v>
      </c>
      <c r="L678" s="63">
        <v>45000</v>
      </c>
      <c r="M678" s="57">
        <v>50000</v>
      </c>
      <c r="N678" s="63">
        <v>50000</v>
      </c>
    </row>
    <row r="679" spans="2:14" x14ac:dyDescent="0.2">
      <c r="B679" s="60"/>
      <c r="C679" s="59"/>
      <c r="D679" s="59"/>
      <c r="E679" s="59"/>
      <c r="F679" s="139" t="s">
        <v>381</v>
      </c>
      <c r="G679" s="105">
        <v>15070</v>
      </c>
      <c r="H679" s="57">
        <v>32027</v>
      </c>
      <c r="I679" s="57">
        <v>35117</v>
      </c>
      <c r="J679" s="57">
        <f>26486.25+9000</f>
        <v>35486.25</v>
      </c>
      <c r="K679" s="57">
        <v>60700.6</v>
      </c>
      <c r="L679" s="57">
        <v>70000</v>
      </c>
      <c r="M679" s="57">
        <v>163000</v>
      </c>
      <c r="N679" s="57">
        <v>168000</v>
      </c>
    </row>
    <row r="680" spans="2:14" x14ac:dyDescent="0.2">
      <c r="B680" s="60"/>
      <c r="C680" s="59"/>
      <c r="D680" s="59"/>
      <c r="E680" s="261" t="s">
        <v>216</v>
      </c>
      <c r="F680" s="261"/>
      <c r="G680" s="70">
        <f>SUM(G681:G691)</f>
        <v>3547870</v>
      </c>
      <c r="H680" s="70">
        <f t="shared" ref="H680:N680" si="288">SUM(H681:H691)</f>
        <v>4797565</v>
      </c>
      <c r="I680" s="70">
        <f t="shared" si="288"/>
        <v>4874490</v>
      </c>
      <c r="J680" s="70">
        <f t="shared" si="288"/>
        <v>6044698.7400000002</v>
      </c>
      <c r="K680" s="70">
        <f t="shared" si="288"/>
        <v>7114041.8900000006</v>
      </c>
      <c r="L680" s="70">
        <f t="shared" si="288"/>
        <v>8206735</v>
      </c>
      <c r="M680" s="70">
        <f t="shared" si="288"/>
        <v>8963040</v>
      </c>
      <c r="N680" s="70">
        <f t="shared" si="288"/>
        <v>8213100</v>
      </c>
    </row>
    <row r="681" spans="2:14" x14ac:dyDescent="0.2">
      <c r="B681" s="60"/>
      <c r="C681" s="59"/>
      <c r="D681" s="59"/>
      <c r="E681" s="59"/>
      <c r="F681" s="139" t="s">
        <v>382</v>
      </c>
      <c r="G681" s="105">
        <v>17737</v>
      </c>
      <c r="H681" s="69">
        <v>31271</v>
      </c>
      <c r="I681" s="69">
        <v>38534</v>
      </c>
      <c r="J681" s="69">
        <f>6336.63+16050.47+1224.86</f>
        <v>23611.96</v>
      </c>
      <c r="K681" s="69">
        <v>22120.94</v>
      </c>
      <c r="L681" s="69">
        <v>46500</v>
      </c>
      <c r="M681" s="57">
        <v>45500</v>
      </c>
      <c r="N681" s="69">
        <v>53500</v>
      </c>
    </row>
    <row r="682" spans="2:14" x14ac:dyDescent="0.2">
      <c r="B682" s="60"/>
      <c r="C682" s="59"/>
      <c r="D682" s="59"/>
      <c r="E682" s="59"/>
      <c r="F682" s="139" t="s">
        <v>383</v>
      </c>
      <c r="G682" s="105">
        <v>330726</v>
      </c>
      <c r="H682" s="57">
        <v>329318</v>
      </c>
      <c r="I682" s="57">
        <v>389472</v>
      </c>
      <c r="J682" s="57">
        <f>94217.12+277035.24</f>
        <v>371252.36</v>
      </c>
      <c r="K682" s="57">
        <v>384529.35</v>
      </c>
      <c r="L682" s="57">
        <v>604500</v>
      </c>
      <c r="M682" s="57">
        <v>635200</v>
      </c>
      <c r="N682" s="57">
        <v>678600</v>
      </c>
    </row>
    <row r="683" spans="2:14" x14ac:dyDescent="0.2">
      <c r="B683" s="60"/>
      <c r="C683" s="59"/>
      <c r="D683" s="59"/>
      <c r="E683" s="59"/>
      <c r="F683" s="139" t="s">
        <v>384</v>
      </c>
      <c r="G683" s="105">
        <v>108157</v>
      </c>
      <c r="H683" s="57">
        <v>105881</v>
      </c>
      <c r="I683" s="57">
        <v>130259</v>
      </c>
      <c r="J683" s="57">
        <f>70678.46+54987.63</f>
        <v>125666.09</v>
      </c>
      <c r="K683" s="57">
        <v>121590</v>
      </c>
      <c r="L683" s="57">
        <v>200000</v>
      </c>
      <c r="M683" s="57">
        <v>171500</v>
      </c>
      <c r="N683" s="57">
        <v>185000</v>
      </c>
    </row>
    <row r="684" spans="2:14" x14ac:dyDescent="0.2">
      <c r="B684" s="60"/>
      <c r="C684" s="59"/>
      <c r="D684" s="59"/>
      <c r="E684" s="59"/>
      <c r="F684" s="139" t="s">
        <v>385</v>
      </c>
      <c r="G684" s="105">
        <v>1308027</v>
      </c>
      <c r="H684" s="57">
        <v>2128642</v>
      </c>
      <c r="I684" s="57">
        <v>2060015</v>
      </c>
      <c r="J684" s="57">
        <f>21517.51+8076.9+149323.8+4691.5+1687008.27+352830.8+289110.21+3289.29+217075.54</f>
        <v>2732923.82</v>
      </c>
      <c r="K684" s="57">
        <v>3705756.62</v>
      </c>
      <c r="L684" s="57">
        <v>4250600</v>
      </c>
      <c r="M684" s="57">
        <v>4796090</v>
      </c>
      <c r="N684" s="57">
        <v>4670000</v>
      </c>
    </row>
    <row r="685" spans="2:14" x14ac:dyDescent="0.2">
      <c r="B685" s="60"/>
      <c r="C685" s="59"/>
      <c r="D685" s="59"/>
      <c r="E685" s="59"/>
      <c r="F685" s="139" t="s">
        <v>386</v>
      </c>
      <c r="G685" s="105">
        <v>314657</v>
      </c>
      <c r="H685" s="57">
        <v>250576</v>
      </c>
      <c r="I685" s="57">
        <v>311395</v>
      </c>
      <c r="J685" s="57">
        <f>257736.6+27102.21</f>
        <v>284838.81</v>
      </c>
      <c r="K685" s="57">
        <v>283602.29000000004</v>
      </c>
      <c r="L685" s="57">
        <v>396500</v>
      </c>
      <c r="M685" s="57">
        <v>359700</v>
      </c>
      <c r="N685" s="57">
        <v>350500</v>
      </c>
    </row>
    <row r="686" spans="2:14" x14ac:dyDescent="0.2">
      <c r="B686" s="60"/>
      <c r="C686" s="59"/>
      <c r="D686" s="59"/>
      <c r="E686" s="59"/>
      <c r="F686" s="139" t="s">
        <v>387</v>
      </c>
      <c r="G686" s="105">
        <v>306202</v>
      </c>
      <c r="H686" s="57">
        <v>345612</v>
      </c>
      <c r="I686" s="57">
        <v>370309</v>
      </c>
      <c r="J686" s="57">
        <f>89690.77+45065.39+80837.74+87.75</f>
        <v>215681.65000000002</v>
      </c>
      <c r="K686" s="57">
        <v>169204.97</v>
      </c>
      <c r="L686" s="57">
        <v>238500</v>
      </c>
      <c r="M686" s="57">
        <v>233900</v>
      </c>
      <c r="N686" s="57">
        <v>238000</v>
      </c>
    </row>
    <row r="687" spans="2:14" x14ac:dyDescent="0.2">
      <c r="B687" s="60"/>
      <c r="C687" s="59"/>
      <c r="D687" s="59"/>
      <c r="E687" s="59"/>
      <c r="F687" s="139" t="s">
        <v>178</v>
      </c>
      <c r="G687" s="105">
        <v>416703</v>
      </c>
      <c r="H687" s="57">
        <v>419557</v>
      </c>
      <c r="I687" s="57">
        <v>505027</v>
      </c>
      <c r="J687" s="57">
        <f>15744.82+70407.23+198441.29+98381.7+107662.17+66000</f>
        <v>556637.21</v>
      </c>
      <c r="K687" s="57">
        <v>550437.78</v>
      </c>
      <c r="L687" s="57">
        <v>698500</v>
      </c>
      <c r="M687" s="57">
        <v>759000</v>
      </c>
      <c r="N687" s="57">
        <v>459000</v>
      </c>
    </row>
    <row r="688" spans="2:14" x14ac:dyDescent="0.2">
      <c r="B688" s="60"/>
      <c r="C688" s="59"/>
      <c r="D688" s="59"/>
      <c r="E688" s="59"/>
      <c r="F688" s="139" t="s">
        <v>167</v>
      </c>
      <c r="G688" s="105">
        <v>687883</v>
      </c>
      <c r="H688" s="57">
        <v>991054</v>
      </c>
      <c r="I688" s="57">
        <v>899542</v>
      </c>
      <c r="J688" s="57">
        <f>1487991.84</f>
        <v>1487991.84</v>
      </c>
      <c r="K688" s="57">
        <v>1619837.78</v>
      </c>
      <c r="L688" s="57">
        <v>1462135</v>
      </c>
      <c r="M688" s="57">
        <v>1593000</v>
      </c>
      <c r="N688" s="57">
        <v>1297000</v>
      </c>
    </row>
    <row r="689" spans="2:14" x14ac:dyDescent="0.2">
      <c r="B689" s="60"/>
      <c r="C689" s="59"/>
      <c r="D689" s="59"/>
      <c r="E689" s="59"/>
      <c r="F689" s="139" t="s">
        <v>388</v>
      </c>
      <c r="G689" s="105">
        <v>44392</v>
      </c>
      <c r="H689" s="57">
        <v>181365</v>
      </c>
      <c r="I689" s="57">
        <v>138588</v>
      </c>
      <c r="J689" s="57">
        <f>123500.62+95669.79+7664.72</f>
        <v>226835.12999999998</v>
      </c>
      <c r="K689" s="57">
        <v>246771.25</v>
      </c>
      <c r="L689" s="57">
        <v>267500</v>
      </c>
      <c r="M689" s="57">
        <v>333150</v>
      </c>
      <c r="N689" s="57">
        <v>264500</v>
      </c>
    </row>
    <row r="690" spans="2:14" x14ac:dyDescent="0.2">
      <c r="B690" s="60"/>
      <c r="C690" s="59"/>
      <c r="D690" s="59"/>
      <c r="E690" s="59"/>
      <c r="F690" s="139" t="s">
        <v>176</v>
      </c>
      <c r="G690" s="105">
        <v>13386</v>
      </c>
      <c r="H690" s="57">
        <v>14289</v>
      </c>
      <c r="I690" s="57">
        <v>8999</v>
      </c>
      <c r="J690" s="57">
        <v>9359.8700000000008</v>
      </c>
      <c r="K690" s="57">
        <v>10190.91</v>
      </c>
      <c r="L690" s="57">
        <v>17000</v>
      </c>
      <c r="M690" s="57">
        <v>11000</v>
      </c>
      <c r="N690" s="57">
        <v>17000</v>
      </c>
    </row>
    <row r="691" spans="2:14" x14ac:dyDescent="0.2">
      <c r="B691" s="60"/>
      <c r="C691" s="59"/>
      <c r="D691" s="59"/>
      <c r="E691" s="59"/>
      <c r="F691" s="139" t="s">
        <v>217</v>
      </c>
      <c r="G691" s="105">
        <v>0</v>
      </c>
      <c r="H691" s="57">
        <v>0</v>
      </c>
      <c r="I691" s="57">
        <v>22350</v>
      </c>
      <c r="J691" s="57">
        <v>9900</v>
      </c>
      <c r="K691" s="57">
        <v>0</v>
      </c>
      <c r="L691" s="57">
        <v>25000</v>
      </c>
      <c r="M691" s="57">
        <v>25000</v>
      </c>
      <c r="N691" s="57">
        <v>0</v>
      </c>
    </row>
    <row r="692" spans="2:14" x14ac:dyDescent="0.2">
      <c r="B692" s="60"/>
      <c r="C692" s="59"/>
      <c r="D692" s="268" t="s">
        <v>389</v>
      </c>
      <c r="E692" s="269"/>
      <c r="F692" s="269"/>
      <c r="G692" s="72">
        <f>G693+G705</f>
        <v>3848752</v>
      </c>
      <c r="H692" s="72">
        <f>H693+H705</f>
        <v>4019870</v>
      </c>
      <c r="I692" s="72">
        <f>I693+I705</f>
        <v>5406725</v>
      </c>
      <c r="J692" s="72">
        <f t="shared" ref="J692:N692" si="289">J693+J705</f>
        <v>5417470.7799999993</v>
      </c>
      <c r="K692" s="72">
        <f t="shared" si="289"/>
        <v>6042593.6099999994</v>
      </c>
      <c r="L692" s="72">
        <f t="shared" si="289"/>
        <v>7421863</v>
      </c>
      <c r="M692" s="72">
        <f t="shared" si="289"/>
        <v>6697800</v>
      </c>
      <c r="N692" s="72">
        <f t="shared" si="289"/>
        <v>6816292</v>
      </c>
    </row>
    <row r="693" spans="2:14" x14ac:dyDescent="0.2">
      <c r="B693" s="60"/>
      <c r="C693" s="59"/>
      <c r="D693" s="59"/>
      <c r="E693" s="263" t="s">
        <v>159</v>
      </c>
      <c r="F693" s="263"/>
      <c r="G693" s="66">
        <f>SUM(G694:G704)</f>
        <v>3729156</v>
      </c>
      <c r="H693" s="66">
        <f t="shared" ref="H693:J693" si="290">SUM(H694:H704)</f>
        <v>3873323</v>
      </c>
      <c r="I693" s="66">
        <f t="shared" si="290"/>
        <v>5126136</v>
      </c>
      <c r="J693" s="66">
        <f t="shared" si="290"/>
        <v>4907560.5199999996</v>
      </c>
      <c r="K693" s="66">
        <f>SUM(K694:K704)</f>
        <v>5351064.5999999996</v>
      </c>
      <c r="L693" s="66">
        <f t="shared" ref="L693" si="291">SUM(L694:L704)</f>
        <v>6401816</v>
      </c>
      <c r="M693" s="66">
        <f t="shared" ref="M693" si="292">SUM(M694:M704)</f>
        <v>6315287</v>
      </c>
      <c r="N693" s="66">
        <f t="shared" ref="N693" si="293">SUM(N694:N704)</f>
        <v>6531545</v>
      </c>
    </row>
    <row r="694" spans="2:14" x14ac:dyDescent="0.2">
      <c r="B694" s="60"/>
      <c r="C694" s="59"/>
      <c r="D694" s="59"/>
      <c r="E694" s="59"/>
      <c r="F694" s="139" t="s">
        <v>160</v>
      </c>
      <c r="G694" s="105">
        <v>2484740</v>
      </c>
      <c r="H694" s="57">
        <v>2496658</v>
      </c>
      <c r="I694" s="57">
        <v>3184480</v>
      </c>
      <c r="J694" s="57">
        <v>2916898.83</v>
      </c>
      <c r="K694" s="57">
        <v>3173185</v>
      </c>
      <c r="L694" s="57">
        <v>3570392</v>
      </c>
      <c r="M694" s="57">
        <v>3767909</v>
      </c>
      <c r="N694" s="57">
        <v>3933000</v>
      </c>
    </row>
    <row r="695" spans="2:14" x14ac:dyDescent="0.2">
      <c r="B695" s="60"/>
      <c r="C695" s="59"/>
      <c r="D695" s="59"/>
      <c r="E695" s="59"/>
      <c r="F695" s="139" t="s">
        <v>201</v>
      </c>
      <c r="G695" s="105">
        <v>412650</v>
      </c>
      <c r="H695" s="57">
        <v>421356</v>
      </c>
      <c r="I695" s="57">
        <v>474200</v>
      </c>
      <c r="J695" s="57">
        <v>478458.17</v>
      </c>
      <c r="K695" s="57">
        <v>459074.87</v>
      </c>
      <c r="L695" s="57">
        <v>728524</v>
      </c>
      <c r="M695" s="57">
        <v>472293</v>
      </c>
      <c r="N695" s="57">
        <v>607545</v>
      </c>
    </row>
    <row r="696" spans="2:14" x14ac:dyDescent="0.2">
      <c r="B696" s="60"/>
      <c r="C696" s="59"/>
      <c r="D696" s="59"/>
      <c r="E696" s="59"/>
      <c r="F696" s="139" t="s">
        <v>161</v>
      </c>
      <c r="G696" s="105">
        <v>612855</v>
      </c>
      <c r="H696" s="57">
        <v>797644</v>
      </c>
      <c r="I696" s="57">
        <v>1045651</v>
      </c>
      <c r="J696" s="57">
        <v>1044858.59</v>
      </c>
      <c r="K696" s="57">
        <v>1196856.08</v>
      </c>
      <c r="L696" s="57">
        <v>2310000</v>
      </c>
      <c r="M696" s="57">
        <v>1540000</v>
      </c>
      <c r="N696" s="57">
        <v>1385000</v>
      </c>
    </row>
    <row r="697" spans="2:14" x14ac:dyDescent="0.2">
      <c r="B697" s="60"/>
      <c r="C697" s="59"/>
      <c r="D697" s="59"/>
      <c r="E697" s="59"/>
      <c r="F697" s="139" t="s">
        <v>179</v>
      </c>
      <c r="G697" s="105">
        <v>116692</v>
      </c>
      <c r="H697" s="57">
        <v>215809</v>
      </c>
      <c r="I697" s="57">
        <v>302366</v>
      </c>
      <c r="J697" s="57">
        <v>307268.77</v>
      </c>
      <c r="K697" s="57">
        <v>393131.38</v>
      </c>
      <c r="L697" s="57">
        <v>340000</v>
      </c>
      <c r="M697" s="57">
        <v>433210</v>
      </c>
      <c r="N697" s="57">
        <v>465000</v>
      </c>
    </row>
    <row r="698" spans="2:14" x14ac:dyDescent="0.2">
      <c r="B698" s="60"/>
      <c r="C698" s="59"/>
      <c r="D698" s="59"/>
      <c r="E698" s="59"/>
      <c r="F698" s="139" t="s">
        <v>212</v>
      </c>
      <c r="G698" s="105">
        <v>53629</v>
      </c>
      <c r="H698" s="57">
        <v>54447</v>
      </c>
      <c r="I698" s="57">
        <v>64523</v>
      </c>
      <c r="J698" s="57">
        <v>71965.61</v>
      </c>
      <c r="K698" s="57">
        <v>77191.27</v>
      </c>
      <c r="L698" s="57">
        <v>102000</v>
      </c>
      <c r="M698" s="57">
        <v>85000</v>
      </c>
      <c r="N698" s="57">
        <v>89000</v>
      </c>
    </row>
    <row r="699" spans="2:14" x14ac:dyDescent="0.2">
      <c r="B699" s="60"/>
      <c r="C699" s="59"/>
      <c r="D699" s="59"/>
      <c r="E699" s="59"/>
      <c r="F699" s="139" t="s">
        <v>202</v>
      </c>
      <c r="G699" s="105">
        <v>6146</v>
      </c>
      <c r="H699" s="57">
        <v>4134</v>
      </c>
      <c r="I699" s="57">
        <v>3462</v>
      </c>
      <c r="J699" s="57">
        <v>3016.09</v>
      </c>
      <c r="K699" s="57">
        <v>3020.44</v>
      </c>
      <c r="L699" s="57">
        <v>7500</v>
      </c>
      <c r="M699" s="57">
        <v>2700</v>
      </c>
      <c r="N699" s="57">
        <v>7500</v>
      </c>
    </row>
    <row r="700" spans="2:14" x14ac:dyDescent="0.2">
      <c r="B700" s="60"/>
      <c r="C700" s="59"/>
      <c r="D700" s="59"/>
      <c r="E700" s="59"/>
      <c r="F700" s="139" t="s">
        <v>205</v>
      </c>
      <c r="G700" s="105">
        <v>1500</v>
      </c>
      <c r="H700" s="57">
        <v>1500</v>
      </c>
      <c r="I700" s="57">
        <v>1750</v>
      </c>
      <c r="J700" s="57">
        <v>1400</v>
      </c>
      <c r="K700" s="57">
        <v>1750</v>
      </c>
      <c r="L700" s="57">
        <v>2750</v>
      </c>
      <c r="M700" s="57">
        <v>2750</v>
      </c>
      <c r="N700" s="57">
        <v>2750</v>
      </c>
    </row>
    <row r="701" spans="2:14" x14ac:dyDescent="0.2">
      <c r="B701" s="60"/>
      <c r="C701" s="59"/>
      <c r="D701" s="59"/>
      <c r="E701" s="59"/>
      <c r="F701" s="139" t="s">
        <v>172</v>
      </c>
      <c r="G701" s="105">
        <v>11344</v>
      </c>
      <c r="H701" s="57">
        <v>564</v>
      </c>
      <c r="I701" s="57">
        <v>30921</v>
      </c>
      <c r="J701" s="57">
        <v>40213.03</v>
      </c>
      <c r="K701" s="57">
        <v>6755.56</v>
      </c>
      <c r="L701" s="57">
        <v>0</v>
      </c>
      <c r="M701" s="57">
        <v>0</v>
      </c>
      <c r="N701" s="57">
        <v>0</v>
      </c>
    </row>
    <row r="702" spans="2:14" x14ac:dyDescent="0.2">
      <c r="B702" s="60"/>
      <c r="C702" s="59"/>
      <c r="D702" s="59"/>
      <c r="E702" s="59"/>
      <c r="F702" s="139" t="s">
        <v>196</v>
      </c>
      <c r="G702" s="105">
        <v>29600</v>
      </c>
      <c r="H702" s="57">
        <v>29600</v>
      </c>
      <c r="I702" s="57">
        <v>37040</v>
      </c>
      <c r="J702" s="57">
        <v>37510</v>
      </c>
      <c r="K702" s="57">
        <v>35000</v>
      </c>
      <c r="L702" s="57">
        <v>40650</v>
      </c>
      <c r="M702" s="57">
        <v>41425</v>
      </c>
      <c r="N702" s="57">
        <v>41750</v>
      </c>
    </row>
    <row r="703" spans="2:14" x14ac:dyDescent="0.2">
      <c r="B703" s="60"/>
      <c r="C703" s="59"/>
      <c r="D703" s="59"/>
      <c r="E703" s="59"/>
      <c r="F703" s="139" t="s">
        <v>203</v>
      </c>
      <c r="G703" s="105">
        <v>0</v>
      </c>
      <c r="H703" s="57">
        <v>0</v>
      </c>
      <c r="I703" s="57">
        <v>5029</v>
      </c>
      <c r="J703" s="57">
        <v>5971.43</v>
      </c>
      <c r="K703" s="57">
        <v>5100</v>
      </c>
      <c r="L703" s="57">
        <v>0</v>
      </c>
      <c r="M703" s="57">
        <v>0</v>
      </c>
      <c r="N703" s="57">
        <v>0</v>
      </c>
    </row>
    <row r="704" spans="2:14" x14ac:dyDescent="0.2">
      <c r="B704" s="60"/>
      <c r="C704" s="59"/>
      <c r="D704" s="59"/>
      <c r="E704" s="59"/>
      <c r="F704" s="139" t="s">
        <v>173</v>
      </c>
      <c r="G704" s="105">
        <v>0</v>
      </c>
      <c r="H704" s="57">
        <v>-148389</v>
      </c>
      <c r="I704" s="57">
        <v>-23286</v>
      </c>
      <c r="J704" s="57">
        <v>0</v>
      </c>
      <c r="K704" s="57">
        <v>0</v>
      </c>
      <c r="L704" s="57">
        <v>-700000</v>
      </c>
      <c r="M704" s="57">
        <v>-30000</v>
      </c>
      <c r="N704" s="57">
        <v>0</v>
      </c>
    </row>
    <row r="705" spans="2:14" x14ac:dyDescent="0.2">
      <c r="B705" s="60"/>
      <c r="C705" s="59"/>
      <c r="D705" s="59"/>
      <c r="E705" s="261" t="s">
        <v>170</v>
      </c>
      <c r="F705" s="261"/>
      <c r="G705" s="61">
        <f>SUM(G706:G711)</f>
        <v>119596</v>
      </c>
      <c r="H705" s="61">
        <f t="shared" ref="H705:N705" si="294">SUM(H706:H711)</f>
        <v>146547</v>
      </c>
      <c r="I705" s="61">
        <f t="shared" si="294"/>
        <v>280589</v>
      </c>
      <c r="J705" s="61">
        <f t="shared" si="294"/>
        <v>509910.26</v>
      </c>
      <c r="K705" s="61">
        <f t="shared" si="294"/>
        <v>691529.01</v>
      </c>
      <c r="L705" s="61">
        <f t="shared" si="294"/>
        <v>1020047</v>
      </c>
      <c r="M705" s="61">
        <f t="shared" si="294"/>
        <v>382513</v>
      </c>
      <c r="N705" s="61">
        <f t="shared" si="294"/>
        <v>284747</v>
      </c>
    </row>
    <row r="706" spans="2:14" x14ac:dyDescent="0.2">
      <c r="B706" s="60"/>
      <c r="C706" s="59"/>
      <c r="D706" s="59"/>
      <c r="E706" s="59"/>
      <c r="F706" s="139" t="s">
        <v>208</v>
      </c>
      <c r="G706" s="105">
        <v>0</v>
      </c>
      <c r="H706" s="57">
        <v>0</v>
      </c>
      <c r="I706" s="57">
        <v>0</v>
      </c>
      <c r="J706" s="57">
        <v>0</v>
      </c>
      <c r="K706" s="57">
        <v>0</v>
      </c>
      <c r="L706" s="57">
        <v>1500</v>
      </c>
      <c r="M706" s="57">
        <v>1200</v>
      </c>
      <c r="N706" s="57">
        <v>1500</v>
      </c>
    </row>
    <row r="707" spans="2:14" x14ac:dyDescent="0.2">
      <c r="B707" s="60"/>
      <c r="C707" s="59"/>
      <c r="D707" s="59"/>
      <c r="E707" s="59"/>
      <c r="F707" s="139" t="s">
        <v>390</v>
      </c>
      <c r="G707" s="105">
        <v>3141</v>
      </c>
      <c r="H707" s="57">
        <v>37903</v>
      </c>
      <c r="I707" s="57">
        <v>5818</v>
      </c>
      <c r="J707" s="57">
        <f>3403.09+4780.16</f>
        <v>8183.25</v>
      </c>
      <c r="K707" s="57">
        <v>58428</v>
      </c>
      <c r="L707" s="57">
        <v>84000</v>
      </c>
      <c r="M707" s="57">
        <v>87570</v>
      </c>
      <c r="N707" s="57">
        <v>9000</v>
      </c>
    </row>
    <row r="708" spans="2:14" x14ac:dyDescent="0.2">
      <c r="B708" s="60"/>
      <c r="C708" s="59"/>
      <c r="D708" s="59"/>
      <c r="E708" s="59"/>
      <c r="F708" s="139" t="s">
        <v>391</v>
      </c>
      <c r="G708" s="105">
        <v>450</v>
      </c>
      <c r="H708" s="57">
        <v>513</v>
      </c>
      <c r="I708" s="57">
        <v>766</v>
      </c>
      <c r="J708" s="57">
        <f>725.72+300</f>
        <v>1025.72</v>
      </c>
      <c r="K708" s="57">
        <v>2755.01</v>
      </c>
      <c r="L708" s="57">
        <v>5475</v>
      </c>
      <c r="M708" s="57">
        <v>4625</v>
      </c>
      <c r="N708" s="57">
        <v>5475</v>
      </c>
    </row>
    <row r="709" spans="2:14" x14ac:dyDescent="0.2">
      <c r="B709" s="60"/>
      <c r="C709" s="59"/>
      <c r="D709" s="59"/>
      <c r="E709" s="59"/>
      <c r="F709" s="139" t="s">
        <v>167</v>
      </c>
      <c r="G709" s="105">
        <v>116005</v>
      </c>
      <c r="H709" s="57">
        <v>107109</v>
      </c>
      <c r="I709" s="57">
        <v>17828</v>
      </c>
      <c r="J709" s="57">
        <f>26023</f>
        <v>26023</v>
      </c>
      <c r="K709" s="57">
        <v>20419</v>
      </c>
      <c r="L709" s="57">
        <v>50000</v>
      </c>
      <c r="M709" s="57">
        <v>45900</v>
      </c>
      <c r="N709" s="57">
        <v>50000</v>
      </c>
    </row>
    <row r="710" spans="2:14" x14ac:dyDescent="0.2">
      <c r="B710" s="60"/>
      <c r="C710" s="59"/>
      <c r="D710" s="59"/>
      <c r="E710" s="59"/>
      <c r="F710" s="139" t="s">
        <v>168</v>
      </c>
      <c r="G710" s="105">
        <v>0</v>
      </c>
      <c r="H710" s="57">
        <v>1022</v>
      </c>
      <c r="I710" s="57">
        <v>0</v>
      </c>
      <c r="J710" s="57">
        <v>0</v>
      </c>
      <c r="K710" s="57">
        <v>0</v>
      </c>
      <c r="L710" s="57">
        <v>0</v>
      </c>
      <c r="M710" s="57">
        <v>0</v>
      </c>
      <c r="N710" s="57">
        <v>0</v>
      </c>
    </row>
    <row r="711" spans="2:14" x14ac:dyDescent="0.2">
      <c r="B711" s="60"/>
      <c r="C711" s="59"/>
      <c r="D711" s="59"/>
      <c r="E711" s="59"/>
      <c r="F711" s="139" t="s">
        <v>175</v>
      </c>
      <c r="G711" s="105">
        <v>0</v>
      </c>
      <c r="H711" s="57">
        <v>0</v>
      </c>
      <c r="I711" s="57">
        <v>256177</v>
      </c>
      <c r="J711" s="57">
        <f>474678.29</f>
        <v>474678.29</v>
      </c>
      <c r="K711" s="57">
        <v>609927</v>
      </c>
      <c r="L711" s="57">
        <v>879072</v>
      </c>
      <c r="M711" s="57">
        <v>243218</v>
      </c>
      <c r="N711" s="57">
        <v>218772</v>
      </c>
    </row>
    <row r="712" spans="2:14" x14ac:dyDescent="0.2">
      <c r="B712" s="60"/>
      <c r="C712" s="270" t="s">
        <v>79</v>
      </c>
      <c r="D712" s="270"/>
      <c r="E712" s="270"/>
      <c r="F712" s="270"/>
      <c r="G712" s="64">
        <f>G713+G743+G757</f>
        <v>35347492</v>
      </c>
      <c r="H712" s="64">
        <f t="shared" ref="H712:J712" si="295">H713+H743+H757</f>
        <v>39603049</v>
      </c>
      <c r="I712" s="64">
        <f t="shared" si="295"/>
        <v>43112942</v>
      </c>
      <c r="J712" s="64">
        <f t="shared" si="295"/>
        <v>43144355.460000008</v>
      </c>
      <c r="K712" s="64">
        <v>45810520</v>
      </c>
      <c r="L712" s="64">
        <v>46526393</v>
      </c>
      <c r="M712" s="64">
        <v>47159096</v>
      </c>
      <c r="N712" s="64">
        <v>47895331</v>
      </c>
    </row>
    <row r="713" spans="2:14" x14ac:dyDescent="0.2">
      <c r="B713" s="60"/>
      <c r="C713" s="59"/>
      <c r="D713" s="268" t="s">
        <v>392</v>
      </c>
      <c r="E713" s="269"/>
      <c r="F713" s="269"/>
      <c r="G713" s="67">
        <f>G714+G728+G731</f>
        <v>33492700</v>
      </c>
      <c r="H713" s="67">
        <f t="shared" ref="H713:N713" si="296">H714+H728+H731</f>
        <v>38738814</v>
      </c>
      <c r="I713" s="67">
        <f t="shared" si="296"/>
        <v>41986636</v>
      </c>
      <c r="J713" s="67">
        <f t="shared" si="296"/>
        <v>42114563.010000005</v>
      </c>
      <c r="K713" s="67">
        <f t="shared" si="296"/>
        <v>44569719.329999998</v>
      </c>
      <c r="L713" s="67">
        <f t="shared" si="296"/>
        <v>45256334</v>
      </c>
      <c r="M713" s="67">
        <f t="shared" si="296"/>
        <v>45907437</v>
      </c>
      <c r="N713" s="67">
        <f t="shared" si="296"/>
        <v>46499443</v>
      </c>
    </row>
    <row r="714" spans="2:14" x14ac:dyDescent="0.2">
      <c r="B714" s="60"/>
      <c r="C714" s="59"/>
      <c r="D714" s="59"/>
      <c r="E714" s="268" t="s">
        <v>159</v>
      </c>
      <c r="F714" s="268"/>
      <c r="G714" s="68">
        <f>SUM(G715:G727)</f>
        <v>31249855</v>
      </c>
      <c r="H714" s="68">
        <f t="shared" ref="H714:J714" si="297">SUM(H715:H727)</f>
        <v>35167702</v>
      </c>
      <c r="I714" s="68">
        <f t="shared" si="297"/>
        <v>37677098</v>
      </c>
      <c r="J714" s="68">
        <f t="shared" si="297"/>
        <v>37100681.260000005</v>
      </c>
      <c r="K714" s="68">
        <f>SUM(K715:K727)</f>
        <v>39330201.460000001</v>
      </c>
      <c r="L714" s="68">
        <f t="shared" ref="L714" si="298">SUM(L715:L727)</f>
        <v>41008300</v>
      </c>
      <c r="M714" s="68">
        <f t="shared" ref="M714" si="299">SUM(M715:M727)</f>
        <v>41474894</v>
      </c>
      <c r="N714" s="68">
        <f t="shared" ref="N714" si="300">SUM(N715:N727)</f>
        <v>41973443</v>
      </c>
    </row>
    <row r="715" spans="2:14" x14ac:dyDescent="0.2">
      <c r="B715" s="60"/>
      <c r="C715" s="59"/>
      <c r="D715" s="59"/>
      <c r="E715" s="59"/>
      <c r="F715" s="139" t="s">
        <v>160</v>
      </c>
      <c r="G715" s="105">
        <v>23693379</v>
      </c>
      <c r="H715" s="57">
        <v>26262553</v>
      </c>
      <c r="I715" s="57">
        <v>29873396</v>
      </c>
      <c r="J715" s="57">
        <v>29517346.359999999</v>
      </c>
      <c r="K715" s="57">
        <v>31197433</v>
      </c>
      <c r="L715" s="57">
        <v>33741592</v>
      </c>
      <c r="M715" s="57">
        <v>33932189</v>
      </c>
      <c r="N715" s="57">
        <v>34030786</v>
      </c>
    </row>
    <row r="716" spans="2:14" x14ac:dyDescent="0.2">
      <c r="B716" s="60"/>
      <c r="C716" s="59"/>
      <c r="D716" s="59"/>
      <c r="E716" s="59"/>
      <c r="F716" s="139" t="s">
        <v>179</v>
      </c>
      <c r="G716" s="105">
        <v>4725452</v>
      </c>
      <c r="H716" s="57">
        <v>6120869</v>
      </c>
      <c r="I716" s="57">
        <v>4942454</v>
      </c>
      <c r="J716" s="57">
        <v>5422326.25</v>
      </c>
      <c r="K716" s="57">
        <v>5934041.3300000001</v>
      </c>
      <c r="L716" s="57">
        <v>4262135</v>
      </c>
      <c r="M716" s="57">
        <v>5117764</v>
      </c>
      <c r="N716" s="57">
        <v>4900000</v>
      </c>
    </row>
    <row r="717" spans="2:14" x14ac:dyDescent="0.2">
      <c r="B717" s="60"/>
      <c r="C717" s="59"/>
      <c r="D717" s="59"/>
      <c r="E717" s="59"/>
      <c r="F717" s="139" t="s">
        <v>212</v>
      </c>
      <c r="G717" s="105">
        <v>1886623</v>
      </c>
      <c r="H717" s="57">
        <v>2078883</v>
      </c>
      <c r="I717" s="57">
        <v>2254945</v>
      </c>
      <c r="J717" s="57">
        <v>2361284.4499999997</v>
      </c>
      <c r="K717" s="57">
        <v>2486549.0299999998</v>
      </c>
      <c r="L717" s="57">
        <v>2773544</v>
      </c>
      <c r="M717" s="57">
        <v>2682155</v>
      </c>
      <c r="N717" s="57">
        <v>2769470</v>
      </c>
    </row>
    <row r="718" spans="2:14" x14ac:dyDescent="0.2">
      <c r="B718" s="60"/>
      <c r="C718" s="59"/>
      <c r="D718" s="59"/>
      <c r="E718" s="59"/>
      <c r="F718" s="139" t="s">
        <v>202</v>
      </c>
      <c r="G718" s="105">
        <v>300455</v>
      </c>
      <c r="H718" s="57">
        <v>343795</v>
      </c>
      <c r="I718" s="57">
        <v>329711</v>
      </c>
      <c r="J718" s="57">
        <v>334318.31</v>
      </c>
      <c r="K718" s="57">
        <v>318937.81</v>
      </c>
      <c r="L718" s="57">
        <v>367750</v>
      </c>
      <c r="M718" s="57">
        <v>335326</v>
      </c>
      <c r="N718" s="57">
        <v>367750</v>
      </c>
    </row>
    <row r="719" spans="2:14" x14ac:dyDescent="0.2">
      <c r="B719" s="60"/>
      <c r="C719" s="59"/>
      <c r="D719" s="59"/>
      <c r="E719" s="59"/>
      <c r="F719" s="139" t="s">
        <v>172</v>
      </c>
      <c r="G719" s="105">
        <v>0</v>
      </c>
      <c r="H719" s="57">
        <v>1474</v>
      </c>
      <c r="I719" s="57">
        <v>363</v>
      </c>
      <c r="J719" s="57">
        <v>1713.79</v>
      </c>
      <c r="K719" s="57">
        <v>2677.06</v>
      </c>
      <c r="L719" s="57">
        <v>46000</v>
      </c>
      <c r="M719" s="57">
        <v>2700</v>
      </c>
      <c r="N719" s="57">
        <v>5000</v>
      </c>
    </row>
    <row r="720" spans="2:14" x14ac:dyDescent="0.2">
      <c r="B720" s="60"/>
      <c r="C720" s="59"/>
      <c r="D720" s="59"/>
      <c r="E720" s="59"/>
      <c r="F720" s="139" t="s">
        <v>213</v>
      </c>
      <c r="G720" s="105">
        <v>184123</v>
      </c>
      <c r="H720" s="57">
        <v>308944</v>
      </c>
      <c r="I720" s="57">
        <v>220301</v>
      </c>
      <c r="J720" s="57">
        <v>204816.40999999997</v>
      </c>
      <c r="K720" s="57">
        <v>182781.32</v>
      </c>
      <c r="L720" s="57">
        <v>512056</v>
      </c>
      <c r="M720" s="57">
        <v>170711</v>
      </c>
      <c r="N720" s="57">
        <v>438326</v>
      </c>
    </row>
    <row r="721" spans="2:14" x14ac:dyDescent="0.2">
      <c r="B721" s="60"/>
      <c r="C721" s="59"/>
      <c r="D721" s="59"/>
      <c r="E721" s="59"/>
      <c r="F721" s="139" t="s">
        <v>203</v>
      </c>
      <c r="G721" s="105">
        <v>224971</v>
      </c>
      <c r="H721" s="57">
        <v>248440</v>
      </c>
      <c r="I721" s="57">
        <v>193316</v>
      </c>
      <c r="J721" s="57">
        <v>166270.71</v>
      </c>
      <c r="K721" s="57">
        <v>174036.8</v>
      </c>
      <c r="L721" s="57">
        <v>338261</v>
      </c>
      <c r="M721" s="57">
        <v>305239</v>
      </c>
      <c r="N721" s="57">
        <v>323806</v>
      </c>
    </row>
    <row r="722" spans="2:14" x14ac:dyDescent="0.2">
      <c r="B722" s="60"/>
      <c r="C722" s="59"/>
      <c r="D722" s="59"/>
      <c r="E722" s="59"/>
      <c r="F722" s="139" t="s">
        <v>214</v>
      </c>
      <c r="G722" s="105">
        <v>103979</v>
      </c>
      <c r="H722" s="57">
        <v>159010</v>
      </c>
      <c r="I722" s="57">
        <v>129664</v>
      </c>
      <c r="J722" s="57">
        <v>174312.24</v>
      </c>
      <c r="K722" s="57">
        <v>282554.02</v>
      </c>
      <c r="L722" s="57">
        <v>325740</v>
      </c>
      <c r="M722" s="57">
        <v>148235</v>
      </c>
      <c r="N722" s="57">
        <v>359640</v>
      </c>
    </row>
    <row r="723" spans="2:14" x14ac:dyDescent="0.2">
      <c r="B723" s="60"/>
      <c r="C723" s="59"/>
      <c r="D723" s="59"/>
      <c r="E723" s="59"/>
      <c r="F723" s="139" t="s">
        <v>342</v>
      </c>
      <c r="G723" s="105">
        <v>0</v>
      </c>
      <c r="H723" s="105">
        <v>0</v>
      </c>
      <c r="I723" s="105">
        <v>0</v>
      </c>
      <c r="J723" s="105">
        <v>0</v>
      </c>
      <c r="K723" s="105">
        <v>20940.53</v>
      </c>
      <c r="L723" s="105">
        <v>0</v>
      </c>
      <c r="M723" s="63">
        <v>0</v>
      </c>
      <c r="N723" s="57">
        <v>0</v>
      </c>
    </row>
    <row r="724" spans="2:14" x14ac:dyDescent="0.2">
      <c r="B724" s="60"/>
      <c r="C724" s="59"/>
      <c r="D724" s="59"/>
      <c r="E724" s="59"/>
      <c r="F724" s="139" t="s">
        <v>215</v>
      </c>
      <c r="G724" s="105">
        <v>0</v>
      </c>
      <c r="H724" s="57">
        <v>24714</v>
      </c>
      <c r="I724" s="57">
        <v>36599</v>
      </c>
      <c r="J724" s="57">
        <v>45290.390000000007</v>
      </c>
      <c r="K724" s="57">
        <v>29349.16</v>
      </c>
      <c r="L724" s="57">
        <v>0</v>
      </c>
      <c r="M724" s="57">
        <v>0</v>
      </c>
      <c r="N724" s="57">
        <v>0</v>
      </c>
    </row>
    <row r="725" spans="2:14" x14ac:dyDescent="0.2">
      <c r="B725" s="60"/>
      <c r="C725" s="59"/>
      <c r="D725" s="59"/>
      <c r="E725" s="59"/>
      <c r="F725" s="139" t="s">
        <v>218</v>
      </c>
      <c r="G725" s="105">
        <v>173567</v>
      </c>
      <c r="H725" s="57">
        <v>179988</v>
      </c>
      <c r="I725" s="57">
        <v>191899</v>
      </c>
      <c r="J725" s="57">
        <v>145863.34</v>
      </c>
      <c r="K725" s="57">
        <v>149766.44</v>
      </c>
      <c r="L725" s="57">
        <v>207500</v>
      </c>
      <c r="M725" s="57">
        <v>187706</v>
      </c>
      <c r="N725" s="57">
        <v>211000</v>
      </c>
    </row>
    <row r="726" spans="2:14" x14ac:dyDescent="0.2">
      <c r="B726" s="60"/>
      <c r="C726" s="59"/>
      <c r="D726" s="59"/>
      <c r="E726" s="59"/>
      <c r="F726" s="139" t="s">
        <v>173</v>
      </c>
      <c r="G726" s="105">
        <v>0</v>
      </c>
      <c r="H726" s="57">
        <v>-267530</v>
      </c>
      <c r="I726" s="57">
        <v>-30679</v>
      </c>
      <c r="J726" s="57">
        <v>-51995</v>
      </c>
      <c r="K726" s="57">
        <v>-436.82</v>
      </c>
      <c r="L726" s="57">
        <v>0</v>
      </c>
      <c r="M726" s="57">
        <v>0</v>
      </c>
      <c r="N726" s="57">
        <v>0</v>
      </c>
    </row>
    <row r="727" spans="2:14" x14ac:dyDescent="0.2">
      <c r="B727" s="60"/>
      <c r="C727" s="59"/>
      <c r="D727" s="59"/>
      <c r="E727" s="59"/>
      <c r="F727" s="139" t="s">
        <v>174</v>
      </c>
      <c r="G727" s="105">
        <v>-42694</v>
      </c>
      <c r="H727" s="57">
        <v>-293438</v>
      </c>
      <c r="I727" s="57">
        <v>-464871</v>
      </c>
      <c r="J727" s="57">
        <v>-1220865.99</v>
      </c>
      <c r="K727" s="57">
        <v>-1448428.22</v>
      </c>
      <c r="L727" s="57">
        <v>-1566278</v>
      </c>
      <c r="M727" s="57">
        <v>-1407131</v>
      </c>
      <c r="N727" s="57">
        <v>-1432335</v>
      </c>
    </row>
    <row r="728" spans="2:14" x14ac:dyDescent="0.2">
      <c r="B728" s="60"/>
      <c r="C728" s="59"/>
      <c r="D728" s="59"/>
      <c r="E728" s="261" t="s">
        <v>181</v>
      </c>
      <c r="F728" s="261"/>
      <c r="G728" s="72">
        <f>SUM(G729:G730)</f>
        <v>119175</v>
      </c>
      <c r="H728" s="72">
        <f t="shared" ref="H728:N728" si="301">SUM(H729:H730)</f>
        <v>335338</v>
      </c>
      <c r="I728" s="72">
        <f t="shared" si="301"/>
        <v>315661</v>
      </c>
      <c r="J728" s="72">
        <f t="shared" si="301"/>
        <v>309187.90000000002</v>
      </c>
      <c r="K728" s="72">
        <f t="shared" si="301"/>
        <v>570484.12</v>
      </c>
      <c r="L728" s="72">
        <f t="shared" si="301"/>
        <v>397500</v>
      </c>
      <c r="M728" s="72">
        <f t="shared" si="301"/>
        <v>212500</v>
      </c>
      <c r="N728" s="72">
        <f t="shared" si="301"/>
        <v>215000</v>
      </c>
    </row>
    <row r="729" spans="2:14" x14ac:dyDescent="0.2">
      <c r="B729" s="60"/>
      <c r="C729" s="59"/>
      <c r="D729" s="59"/>
      <c r="E729" s="59"/>
      <c r="F729" s="139" t="s">
        <v>393</v>
      </c>
      <c r="G729" s="105">
        <v>25765</v>
      </c>
      <c r="H729" s="57">
        <v>63810</v>
      </c>
      <c r="I729" s="57">
        <v>75166</v>
      </c>
      <c r="J729" s="57">
        <f>28488.84+57734.46</f>
        <v>86223.3</v>
      </c>
      <c r="K729" s="57">
        <v>91856.12</v>
      </c>
      <c r="L729" s="57">
        <v>99000</v>
      </c>
      <c r="M729" s="57">
        <v>37000</v>
      </c>
      <c r="N729" s="57">
        <v>52000</v>
      </c>
    </row>
    <row r="730" spans="2:14" x14ac:dyDescent="0.2">
      <c r="B730" s="60"/>
      <c r="C730" s="59"/>
      <c r="D730" s="59"/>
      <c r="E730" s="59"/>
      <c r="F730" s="139" t="s">
        <v>394</v>
      </c>
      <c r="G730" s="105">
        <v>93410</v>
      </c>
      <c r="H730" s="57">
        <v>271528</v>
      </c>
      <c r="I730" s="57">
        <v>240495</v>
      </c>
      <c r="J730" s="57">
        <f>112039.46+103590.73+7334.41</f>
        <v>222964.6</v>
      </c>
      <c r="K730" s="57">
        <v>478628</v>
      </c>
      <c r="L730" s="57">
        <v>298500</v>
      </c>
      <c r="M730" s="57">
        <v>175500</v>
      </c>
      <c r="N730" s="57">
        <v>163000</v>
      </c>
    </row>
    <row r="731" spans="2:14" x14ac:dyDescent="0.2">
      <c r="B731" s="60"/>
      <c r="C731" s="59"/>
      <c r="D731" s="59"/>
      <c r="E731" s="261" t="s">
        <v>170</v>
      </c>
      <c r="F731" s="261"/>
      <c r="G731" s="72">
        <f>SUM(G732:G742)</f>
        <v>2123670</v>
      </c>
      <c r="H731" s="72">
        <f t="shared" ref="H731:J731" si="302">SUM(H732:H742)</f>
        <v>3235774</v>
      </c>
      <c r="I731" s="72">
        <f t="shared" si="302"/>
        <v>3993877</v>
      </c>
      <c r="J731" s="72">
        <f t="shared" si="302"/>
        <v>4704693.8500000015</v>
      </c>
      <c r="K731" s="72">
        <f>SUM(K732:K742)</f>
        <v>4669033.75</v>
      </c>
      <c r="L731" s="72">
        <f t="shared" ref="L731" si="303">SUM(L732:L742)</f>
        <v>3850534</v>
      </c>
      <c r="M731" s="72">
        <f t="shared" ref="M731:N731" si="304">SUM(M732:M742)</f>
        <v>4220043</v>
      </c>
      <c r="N731" s="72">
        <f t="shared" si="304"/>
        <v>4311000</v>
      </c>
    </row>
    <row r="732" spans="2:14" x14ac:dyDescent="0.2">
      <c r="B732" s="60"/>
      <c r="C732" s="59"/>
      <c r="D732" s="59"/>
      <c r="E732" s="59"/>
      <c r="F732" s="139" t="s">
        <v>395</v>
      </c>
      <c r="G732" s="105">
        <v>128176</v>
      </c>
      <c r="H732" s="57">
        <v>209927</v>
      </c>
      <c r="I732" s="57">
        <v>222934</v>
      </c>
      <c r="J732" s="57">
        <f>194909.83+27637.63</f>
        <v>222547.46</v>
      </c>
      <c r="K732" s="57">
        <v>197974.09</v>
      </c>
      <c r="L732" s="57">
        <v>292000</v>
      </c>
      <c r="M732" s="57">
        <v>232000</v>
      </c>
      <c r="N732" s="57">
        <v>263500</v>
      </c>
    </row>
    <row r="733" spans="2:14" x14ac:dyDescent="0.2">
      <c r="B733" s="60"/>
      <c r="C733" s="59"/>
      <c r="D733" s="59"/>
      <c r="E733" s="59"/>
      <c r="F733" s="139" t="s">
        <v>383</v>
      </c>
      <c r="G733" s="105">
        <v>337314</v>
      </c>
      <c r="H733" s="57">
        <v>503988</v>
      </c>
      <c r="I733" s="57">
        <v>758889</v>
      </c>
      <c r="J733" s="57">
        <f>217929.73+646050.24</f>
        <v>863979.97</v>
      </c>
      <c r="K733" s="57">
        <v>994237.45</v>
      </c>
      <c r="L733" s="57">
        <v>900000</v>
      </c>
      <c r="M733" s="57">
        <v>981000</v>
      </c>
      <c r="N733" s="57">
        <v>1010000</v>
      </c>
    </row>
    <row r="734" spans="2:14" x14ac:dyDescent="0.2">
      <c r="B734" s="60"/>
      <c r="C734" s="59"/>
      <c r="D734" s="59"/>
      <c r="E734" s="59"/>
      <c r="F734" s="139" t="s">
        <v>396</v>
      </c>
      <c r="G734" s="105">
        <v>38553</v>
      </c>
      <c r="H734" s="57">
        <v>47524</v>
      </c>
      <c r="I734" s="57">
        <v>68217</v>
      </c>
      <c r="J734" s="57">
        <f>37786.63+24374.1</f>
        <v>62160.729999999996</v>
      </c>
      <c r="K734" s="57">
        <v>63004.08</v>
      </c>
      <c r="L734" s="57">
        <v>68000</v>
      </c>
      <c r="M734" s="57">
        <v>65500</v>
      </c>
      <c r="N734" s="57">
        <v>73000</v>
      </c>
    </row>
    <row r="735" spans="2:14" x14ac:dyDescent="0.2">
      <c r="B735" s="60"/>
      <c r="C735" s="59"/>
      <c r="D735" s="59"/>
      <c r="E735" s="59"/>
      <c r="F735" s="139" t="s">
        <v>385</v>
      </c>
      <c r="G735" s="105">
        <v>1013823</v>
      </c>
      <c r="H735" s="57">
        <v>1614692</v>
      </c>
      <c r="I735" s="57">
        <v>2191008</v>
      </c>
      <c r="J735" s="57">
        <v>2380936.75</v>
      </c>
      <c r="K735" s="57">
        <v>2517112</v>
      </c>
      <c r="L735" s="57">
        <v>1495000</v>
      </c>
      <c r="M735" s="57">
        <v>1962334</v>
      </c>
      <c r="N735" s="57">
        <v>2175500</v>
      </c>
    </row>
    <row r="736" spans="2:14" x14ac:dyDescent="0.2">
      <c r="B736" s="60"/>
      <c r="C736" s="59"/>
      <c r="D736" s="59"/>
      <c r="E736" s="59"/>
      <c r="F736" s="139" t="s">
        <v>397</v>
      </c>
      <c r="G736" s="105">
        <v>23531</v>
      </c>
      <c r="H736" s="57">
        <v>96078</v>
      </c>
      <c r="I736" s="57">
        <v>97185</v>
      </c>
      <c r="J736" s="57">
        <f>36777.36+123837.76</f>
        <v>160615.12</v>
      </c>
      <c r="K736" s="57">
        <v>104623.5</v>
      </c>
      <c r="L736" s="57">
        <v>178000</v>
      </c>
      <c r="M736" s="57">
        <v>76000</v>
      </c>
      <c r="N736" s="57">
        <v>110000</v>
      </c>
    </row>
    <row r="737" spans="2:14" x14ac:dyDescent="0.2">
      <c r="B737" s="60"/>
      <c r="C737" s="59"/>
      <c r="D737" s="59"/>
      <c r="E737" s="59"/>
      <c r="F737" s="139" t="s">
        <v>398</v>
      </c>
      <c r="G737" s="105">
        <v>129632</v>
      </c>
      <c r="H737" s="57">
        <v>192466</v>
      </c>
      <c r="I737" s="57">
        <v>132246</v>
      </c>
      <c r="J737" s="57">
        <f>468051.68+1138+6437.04</f>
        <v>475626.72</v>
      </c>
      <c r="K737" s="57">
        <v>192386.16999999998</v>
      </c>
      <c r="L737" s="57">
        <v>226500</v>
      </c>
      <c r="M737" s="57">
        <v>202300</v>
      </c>
      <c r="N737" s="57">
        <v>217000</v>
      </c>
    </row>
    <row r="738" spans="2:14" x14ac:dyDescent="0.2">
      <c r="B738" s="60"/>
      <c r="C738" s="59"/>
      <c r="D738" s="59"/>
      <c r="E738" s="59"/>
      <c r="F738" s="139" t="s">
        <v>178</v>
      </c>
      <c r="G738" s="105">
        <v>189998</v>
      </c>
      <c r="H738" s="57">
        <v>260680</v>
      </c>
      <c r="I738" s="57">
        <v>242986</v>
      </c>
      <c r="J738" s="57">
        <f>68014.77+131790.99+3837.35+1032.14</f>
        <v>204675.25000000003</v>
      </c>
      <c r="K738" s="57">
        <v>254281.80000000002</v>
      </c>
      <c r="L738" s="57">
        <v>344534</v>
      </c>
      <c r="M738" s="57">
        <v>318409</v>
      </c>
      <c r="N738" s="57">
        <v>5000</v>
      </c>
    </row>
    <row r="739" spans="2:14" x14ac:dyDescent="0.2">
      <c r="B739" s="60"/>
      <c r="C739" s="59"/>
      <c r="D739" s="59"/>
      <c r="E739" s="59"/>
      <c r="F739" s="139" t="s">
        <v>167</v>
      </c>
      <c r="G739" s="105">
        <v>205750</v>
      </c>
      <c r="H739" s="57">
        <v>214292</v>
      </c>
      <c r="I739" s="57">
        <v>218634</v>
      </c>
      <c r="J739" s="57">
        <v>238169.32</v>
      </c>
      <c r="K739" s="57">
        <v>218555.49</v>
      </c>
      <c r="L739" s="57">
        <v>280000</v>
      </c>
      <c r="M739" s="57">
        <v>338000</v>
      </c>
      <c r="N739" s="57">
        <v>392000</v>
      </c>
    </row>
    <row r="740" spans="2:14" x14ac:dyDescent="0.2">
      <c r="B740" s="60"/>
      <c r="C740" s="59"/>
      <c r="D740" s="59"/>
      <c r="E740" s="59"/>
      <c r="F740" s="139" t="s">
        <v>388</v>
      </c>
      <c r="G740" s="105">
        <v>20049</v>
      </c>
      <c r="H740" s="57">
        <v>28409</v>
      </c>
      <c r="I740" s="57">
        <v>49050</v>
      </c>
      <c r="J740" s="57">
        <f>20291.49+23434.1+6816.35</f>
        <v>50541.939999999995</v>
      </c>
      <c r="K740" s="57">
        <v>98385.81</v>
      </c>
      <c r="L740" s="57">
        <v>61500</v>
      </c>
      <c r="M740" s="57">
        <v>42000</v>
      </c>
      <c r="N740" s="57">
        <v>60000</v>
      </c>
    </row>
    <row r="741" spans="2:14" x14ac:dyDescent="0.2">
      <c r="B741" s="60"/>
      <c r="C741" s="59"/>
      <c r="D741" s="59"/>
      <c r="E741" s="59"/>
      <c r="F741" s="139" t="s">
        <v>176</v>
      </c>
      <c r="G741" s="105">
        <v>1069</v>
      </c>
      <c r="H741" s="57">
        <v>947</v>
      </c>
      <c r="I741" s="57">
        <v>870</v>
      </c>
      <c r="J741" s="57">
        <v>1886.23</v>
      </c>
      <c r="K741" s="57">
        <v>1274.33</v>
      </c>
      <c r="L741" s="57">
        <v>5000</v>
      </c>
      <c r="M741" s="57">
        <v>2500</v>
      </c>
      <c r="N741" s="57">
        <v>5000</v>
      </c>
    </row>
    <row r="742" spans="2:14" x14ac:dyDescent="0.2">
      <c r="B742" s="60"/>
      <c r="C742" s="59"/>
      <c r="D742" s="59"/>
      <c r="E742" s="59"/>
      <c r="F742" s="139" t="s">
        <v>219</v>
      </c>
      <c r="G742" s="105">
        <v>35775</v>
      </c>
      <c r="H742" s="57">
        <v>66771</v>
      </c>
      <c r="I742" s="57">
        <v>11858</v>
      </c>
      <c r="J742" s="57">
        <v>43554.36</v>
      </c>
      <c r="K742" s="57">
        <v>27199.03</v>
      </c>
      <c r="L742" s="57">
        <v>0</v>
      </c>
      <c r="M742" s="57">
        <v>0</v>
      </c>
      <c r="N742" s="57">
        <v>0</v>
      </c>
    </row>
    <row r="743" spans="2:14" x14ac:dyDescent="0.2">
      <c r="B743" s="60"/>
      <c r="C743" s="59"/>
      <c r="D743" s="263" t="s">
        <v>399</v>
      </c>
      <c r="E743" s="276"/>
      <c r="F743" s="276"/>
      <c r="G743" s="67">
        <f>G744+G757</f>
        <v>1336615</v>
      </c>
      <c r="H743" s="67">
        <f t="shared" ref="H743:N743" si="305">H744+H757</f>
        <v>864235</v>
      </c>
      <c r="I743" s="67">
        <f t="shared" si="305"/>
        <v>1126306</v>
      </c>
      <c r="J743" s="67">
        <f t="shared" si="305"/>
        <v>1029792.45</v>
      </c>
      <c r="K743" s="67">
        <f t="shared" si="305"/>
        <v>1207670.5899999999</v>
      </c>
      <c r="L743" s="67">
        <f t="shared" si="305"/>
        <v>1238059</v>
      </c>
      <c r="M743" s="67">
        <f t="shared" si="305"/>
        <v>1219659</v>
      </c>
      <c r="N743" s="67">
        <f t="shared" si="305"/>
        <v>1358888</v>
      </c>
    </row>
    <row r="744" spans="2:14" x14ac:dyDescent="0.2">
      <c r="B744" s="60"/>
      <c r="C744" s="59"/>
      <c r="D744" s="59"/>
      <c r="E744" s="263" t="s">
        <v>159</v>
      </c>
      <c r="F744" s="263"/>
      <c r="G744" s="66">
        <f>SUM(G745:G752)</f>
        <v>818438</v>
      </c>
      <c r="H744" s="66">
        <f t="shared" ref="H744:J744" si="306">SUM(H745:H752)</f>
        <v>864235</v>
      </c>
      <c r="I744" s="66">
        <f t="shared" si="306"/>
        <v>1126306</v>
      </c>
      <c r="J744" s="66">
        <f t="shared" si="306"/>
        <v>1029792.45</v>
      </c>
      <c r="K744" s="66">
        <f>SUM(K745:K752)</f>
        <v>1207670.5899999999</v>
      </c>
      <c r="L744" s="66">
        <f t="shared" ref="L744" si="307">SUM(L745:L752)</f>
        <v>1238059</v>
      </c>
      <c r="M744" s="66">
        <f t="shared" ref="M744" si="308">SUM(M745:M752)</f>
        <v>1219659</v>
      </c>
      <c r="N744" s="66">
        <f t="shared" ref="N744" si="309">SUM(N745:N752)</f>
        <v>1358888</v>
      </c>
    </row>
    <row r="745" spans="2:14" x14ac:dyDescent="0.2">
      <c r="B745" s="60"/>
      <c r="C745" s="59"/>
      <c r="D745" s="59"/>
      <c r="E745" s="59"/>
      <c r="F745" s="139" t="s">
        <v>160</v>
      </c>
      <c r="G745" s="105">
        <v>324276</v>
      </c>
      <c r="H745" s="57">
        <v>336395</v>
      </c>
      <c r="I745" s="57">
        <v>435030</v>
      </c>
      <c r="J745" s="57">
        <v>340342.02</v>
      </c>
      <c r="K745" s="57">
        <v>421524.36</v>
      </c>
      <c r="L745" s="57">
        <v>472740</v>
      </c>
      <c r="M745" s="57">
        <v>415782</v>
      </c>
      <c r="N745" s="57">
        <v>578685</v>
      </c>
    </row>
    <row r="746" spans="2:14" x14ac:dyDescent="0.2">
      <c r="B746" s="60"/>
      <c r="C746" s="59"/>
      <c r="D746" s="59"/>
      <c r="E746" s="59"/>
      <c r="F746" s="139" t="s">
        <v>201</v>
      </c>
      <c r="G746" s="105">
        <v>441257</v>
      </c>
      <c r="H746" s="57">
        <v>470633</v>
      </c>
      <c r="I746" s="57">
        <v>567974</v>
      </c>
      <c r="J746" s="57">
        <v>593493.38</v>
      </c>
      <c r="K746" s="57">
        <v>671471.63</v>
      </c>
      <c r="L746" s="57">
        <v>642169</v>
      </c>
      <c r="M746" s="57">
        <v>693027</v>
      </c>
      <c r="N746" s="57">
        <v>668353</v>
      </c>
    </row>
    <row r="747" spans="2:14" x14ac:dyDescent="0.2">
      <c r="B747" s="60"/>
      <c r="C747" s="59"/>
      <c r="D747" s="59"/>
      <c r="E747" s="59"/>
      <c r="F747" s="139" t="s">
        <v>179</v>
      </c>
      <c r="G747" s="105">
        <v>49619</v>
      </c>
      <c r="H747" s="57">
        <v>53600</v>
      </c>
      <c r="I747" s="57">
        <v>111197</v>
      </c>
      <c r="J747" s="57">
        <v>84243.47</v>
      </c>
      <c r="K747" s="57">
        <v>104350.14</v>
      </c>
      <c r="L747" s="57">
        <v>106000</v>
      </c>
      <c r="M747" s="57">
        <v>100000</v>
      </c>
      <c r="N747" s="57">
        <v>100000</v>
      </c>
    </row>
    <row r="748" spans="2:14" x14ac:dyDescent="0.2">
      <c r="B748" s="60"/>
      <c r="C748" s="59"/>
      <c r="D748" s="59"/>
      <c r="E748" s="59"/>
      <c r="F748" s="139" t="s">
        <v>202</v>
      </c>
      <c r="G748" s="105">
        <v>61</v>
      </c>
      <c r="H748" s="57">
        <v>260</v>
      </c>
      <c r="I748" s="57">
        <v>434</v>
      </c>
      <c r="J748" s="57">
        <v>308.44</v>
      </c>
      <c r="K748" s="57">
        <v>474.46</v>
      </c>
      <c r="L748" s="57">
        <v>1000</v>
      </c>
      <c r="M748" s="57">
        <v>400</v>
      </c>
      <c r="N748" s="57">
        <v>1000</v>
      </c>
    </row>
    <row r="749" spans="2:14" x14ac:dyDescent="0.2">
      <c r="B749" s="60"/>
      <c r="C749" s="59"/>
      <c r="D749" s="59"/>
      <c r="E749" s="59"/>
      <c r="F749" s="139" t="s">
        <v>205</v>
      </c>
      <c r="G749" s="105">
        <v>1250</v>
      </c>
      <c r="H749" s="57">
        <v>1250</v>
      </c>
      <c r="I749" s="57">
        <v>1750</v>
      </c>
      <c r="J749" s="57">
        <v>1750</v>
      </c>
      <c r="K749" s="57">
        <v>1750</v>
      </c>
      <c r="L749" s="57">
        <v>2100</v>
      </c>
      <c r="M749" s="57">
        <v>2100</v>
      </c>
      <c r="N749" s="57">
        <v>2100</v>
      </c>
    </row>
    <row r="750" spans="2:14" x14ac:dyDescent="0.2">
      <c r="B750" s="60"/>
      <c r="C750" s="59"/>
      <c r="D750" s="59"/>
      <c r="E750" s="59"/>
      <c r="F750" s="139" t="s">
        <v>172</v>
      </c>
      <c r="G750" s="105">
        <v>0</v>
      </c>
      <c r="H750" s="57">
        <v>122</v>
      </c>
      <c r="I750" s="57">
        <v>4921</v>
      </c>
      <c r="J750" s="57">
        <v>2155.14</v>
      </c>
      <c r="K750" s="57">
        <v>0</v>
      </c>
      <c r="L750" s="57">
        <v>3000</v>
      </c>
      <c r="M750" s="57">
        <v>0</v>
      </c>
      <c r="N750" s="57">
        <v>500</v>
      </c>
    </row>
    <row r="751" spans="2:14" x14ac:dyDescent="0.2">
      <c r="B751" s="60"/>
      <c r="C751" s="59"/>
      <c r="D751" s="59"/>
      <c r="E751" s="59"/>
      <c r="F751" s="139" t="s">
        <v>196</v>
      </c>
      <c r="G751" s="105">
        <v>1975</v>
      </c>
      <c r="H751" s="57">
        <v>1975</v>
      </c>
      <c r="I751" s="57">
        <v>2500</v>
      </c>
      <c r="J751" s="57">
        <v>2500</v>
      </c>
      <c r="K751" s="57">
        <v>2500</v>
      </c>
      <c r="L751" s="57">
        <v>3250</v>
      </c>
      <c r="M751" s="57">
        <v>3250</v>
      </c>
      <c r="N751" s="57">
        <v>3250</v>
      </c>
    </row>
    <row r="752" spans="2:14" x14ac:dyDescent="0.2">
      <c r="B752" s="60"/>
      <c r="C752" s="59"/>
      <c r="D752" s="59"/>
      <c r="E752" s="59"/>
      <c r="F752" s="139" t="s">
        <v>203</v>
      </c>
      <c r="G752" s="105">
        <v>0</v>
      </c>
      <c r="H752" s="57">
        <v>0</v>
      </c>
      <c r="I752" s="57">
        <v>2500</v>
      </c>
      <c r="J752" s="57">
        <v>5000</v>
      </c>
      <c r="K752" s="57">
        <v>5600</v>
      </c>
      <c r="L752" s="57">
        <v>7800</v>
      </c>
      <c r="M752" s="57">
        <v>5100</v>
      </c>
      <c r="N752" s="57">
        <v>5000</v>
      </c>
    </row>
    <row r="753" spans="2:14" x14ac:dyDescent="0.2">
      <c r="B753" s="60"/>
      <c r="C753" s="59"/>
      <c r="D753" s="59"/>
      <c r="E753" s="261" t="s">
        <v>170</v>
      </c>
      <c r="F753" s="261"/>
      <c r="G753" s="61">
        <f>SUM(G754:G756)</f>
        <v>115876</v>
      </c>
      <c r="H753" s="61">
        <f t="shared" ref="H753:N753" si="310">SUM(H754:H756)</f>
        <v>113675</v>
      </c>
      <c r="I753" s="61">
        <f t="shared" si="310"/>
        <v>46751</v>
      </c>
      <c r="J753" s="61">
        <f t="shared" si="310"/>
        <v>30597.75</v>
      </c>
      <c r="K753" s="61">
        <f t="shared" si="310"/>
        <v>31929.29</v>
      </c>
      <c r="L753" s="61">
        <f t="shared" si="310"/>
        <v>32000</v>
      </c>
      <c r="M753" s="61">
        <f t="shared" si="310"/>
        <v>32000</v>
      </c>
      <c r="N753" s="61">
        <f t="shared" si="310"/>
        <v>37000</v>
      </c>
    </row>
    <row r="754" spans="2:14" x14ac:dyDescent="0.2">
      <c r="B754" s="60"/>
      <c r="C754" s="59"/>
      <c r="D754" s="59"/>
      <c r="E754" s="59"/>
      <c r="F754" s="139" t="s">
        <v>197</v>
      </c>
      <c r="G754" s="105">
        <v>1101</v>
      </c>
      <c r="H754" s="57">
        <v>997</v>
      </c>
      <c r="I754" s="57">
        <v>1200</v>
      </c>
      <c r="J754" s="57">
        <v>600</v>
      </c>
      <c r="K754" s="57">
        <v>1987.04</v>
      </c>
      <c r="L754" s="57">
        <v>2000</v>
      </c>
      <c r="M754" s="57">
        <v>2000</v>
      </c>
      <c r="N754" s="57">
        <v>2000</v>
      </c>
    </row>
    <row r="755" spans="2:14" x14ac:dyDescent="0.2">
      <c r="B755" s="60"/>
      <c r="C755" s="59"/>
      <c r="D755" s="59"/>
      <c r="E755" s="59"/>
      <c r="F755" s="139" t="s">
        <v>167</v>
      </c>
      <c r="G755" s="105">
        <v>114775</v>
      </c>
      <c r="H755" s="57">
        <v>112678</v>
      </c>
      <c r="I755" s="57">
        <v>20618</v>
      </c>
      <c r="J755" s="57">
        <v>29997.75</v>
      </c>
      <c r="K755" s="57">
        <v>29942.25</v>
      </c>
      <c r="L755" s="57">
        <v>30000</v>
      </c>
      <c r="M755" s="57">
        <v>30000</v>
      </c>
      <c r="N755" s="57">
        <v>35000</v>
      </c>
    </row>
    <row r="756" spans="2:14" x14ac:dyDescent="0.2">
      <c r="B756" s="60"/>
      <c r="C756" s="59"/>
      <c r="D756" s="59"/>
      <c r="E756" s="59"/>
      <c r="F756" s="139" t="s">
        <v>175</v>
      </c>
      <c r="G756" s="105">
        <v>0</v>
      </c>
      <c r="H756" s="57">
        <v>0</v>
      </c>
      <c r="I756" s="57">
        <v>24933</v>
      </c>
      <c r="J756" s="57">
        <v>0</v>
      </c>
      <c r="K756" s="57">
        <v>0</v>
      </c>
      <c r="L756" s="57">
        <v>0</v>
      </c>
      <c r="M756" s="57">
        <v>0</v>
      </c>
      <c r="N756" s="57">
        <v>0</v>
      </c>
    </row>
    <row r="757" spans="2:14" x14ac:dyDescent="0.2">
      <c r="B757" s="60"/>
      <c r="C757" s="59"/>
      <c r="D757" s="263" t="s">
        <v>220</v>
      </c>
      <c r="E757" s="276"/>
      <c r="F757" s="276"/>
      <c r="G757" s="67">
        <f>G758+G769</f>
        <v>518177</v>
      </c>
      <c r="H757" s="67">
        <f t="shared" ref="H757:N757" si="311">H758+H769</f>
        <v>0</v>
      </c>
      <c r="I757" s="67">
        <f t="shared" si="311"/>
        <v>0</v>
      </c>
      <c r="J757" s="67">
        <f t="shared" si="311"/>
        <v>0</v>
      </c>
      <c r="K757" s="67">
        <f t="shared" si="311"/>
        <v>0</v>
      </c>
      <c r="L757" s="67">
        <f t="shared" si="311"/>
        <v>0</v>
      </c>
      <c r="M757" s="67">
        <f t="shared" si="311"/>
        <v>0</v>
      </c>
      <c r="N757" s="67">
        <f t="shared" si="311"/>
        <v>0</v>
      </c>
    </row>
    <row r="758" spans="2:14" x14ac:dyDescent="0.2">
      <c r="B758" s="60"/>
      <c r="C758" s="59"/>
      <c r="D758" s="59"/>
      <c r="E758" s="263" t="s">
        <v>159</v>
      </c>
      <c r="F758" s="263"/>
      <c r="G758" s="66">
        <f>SUM(G759:G770)</f>
        <v>506053</v>
      </c>
      <c r="H758" s="66">
        <f t="shared" ref="H758:N758" si="312">SUM(H759:H770)</f>
        <v>0</v>
      </c>
      <c r="I758" s="66">
        <f t="shared" si="312"/>
        <v>0</v>
      </c>
      <c r="J758" s="66">
        <f t="shared" si="312"/>
        <v>0</v>
      </c>
      <c r="K758" s="66">
        <f t="shared" si="312"/>
        <v>0</v>
      </c>
      <c r="L758" s="66">
        <f t="shared" si="312"/>
        <v>0</v>
      </c>
      <c r="M758" s="66">
        <f t="shared" si="312"/>
        <v>0</v>
      </c>
      <c r="N758" s="66">
        <f t="shared" si="312"/>
        <v>0</v>
      </c>
    </row>
    <row r="759" spans="2:14" x14ac:dyDescent="0.2">
      <c r="B759" s="60"/>
      <c r="C759" s="59"/>
      <c r="D759" s="59"/>
      <c r="E759" s="59"/>
      <c r="F759" s="139" t="s">
        <v>160</v>
      </c>
      <c r="G759" s="105">
        <v>1885734</v>
      </c>
      <c r="H759" s="105">
        <v>0</v>
      </c>
      <c r="I759" s="105">
        <v>0</v>
      </c>
      <c r="J759" s="105">
        <v>0</v>
      </c>
      <c r="K759" s="105">
        <v>0</v>
      </c>
      <c r="L759" s="105">
        <v>0</v>
      </c>
      <c r="M759" s="105">
        <v>0</v>
      </c>
      <c r="N759" s="105">
        <v>0</v>
      </c>
    </row>
    <row r="760" spans="2:14" x14ac:dyDescent="0.2">
      <c r="B760" s="60"/>
      <c r="C760" s="59"/>
      <c r="D760" s="59"/>
      <c r="E760" s="59"/>
      <c r="F760" s="139" t="s">
        <v>179</v>
      </c>
      <c r="G760" s="105">
        <v>434283</v>
      </c>
      <c r="H760" s="105">
        <v>0</v>
      </c>
      <c r="I760" s="105">
        <v>0</v>
      </c>
      <c r="J760" s="105">
        <v>0</v>
      </c>
      <c r="K760" s="105">
        <v>0</v>
      </c>
      <c r="L760" s="105">
        <v>0</v>
      </c>
      <c r="M760" s="105">
        <v>0</v>
      </c>
      <c r="N760" s="105">
        <v>0</v>
      </c>
    </row>
    <row r="761" spans="2:14" x14ac:dyDescent="0.2">
      <c r="B761" s="60"/>
      <c r="C761" s="59"/>
      <c r="D761" s="59"/>
      <c r="E761" s="59"/>
      <c r="F761" s="139" t="s">
        <v>212</v>
      </c>
      <c r="G761" s="105">
        <v>156086</v>
      </c>
      <c r="H761" s="105">
        <v>0</v>
      </c>
      <c r="I761" s="105">
        <v>0</v>
      </c>
      <c r="J761" s="105">
        <v>0</v>
      </c>
      <c r="K761" s="105">
        <v>0</v>
      </c>
      <c r="L761" s="105">
        <v>0</v>
      </c>
      <c r="M761" s="105">
        <v>0</v>
      </c>
      <c r="N761" s="105">
        <v>0</v>
      </c>
    </row>
    <row r="762" spans="2:14" x14ac:dyDescent="0.2">
      <c r="B762" s="60"/>
      <c r="C762" s="59"/>
      <c r="D762" s="59"/>
      <c r="E762" s="59"/>
      <c r="F762" s="139" t="s">
        <v>202</v>
      </c>
      <c r="G762" s="105">
        <v>28989</v>
      </c>
      <c r="H762" s="105">
        <v>0</v>
      </c>
      <c r="I762" s="105">
        <v>0</v>
      </c>
      <c r="J762" s="105">
        <v>0</v>
      </c>
      <c r="K762" s="105">
        <v>0</v>
      </c>
      <c r="L762" s="105">
        <v>0</v>
      </c>
      <c r="M762" s="105">
        <v>0</v>
      </c>
      <c r="N762" s="105">
        <v>0</v>
      </c>
    </row>
    <row r="763" spans="2:14" x14ac:dyDescent="0.2">
      <c r="B763" s="60"/>
      <c r="C763" s="59"/>
      <c r="D763" s="59"/>
      <c r="E763" s="59"/>
      <c r="F763" s="139" t="s">
        <v>172</v>
      </c>
      <c r="G763" s="105">
        <v>374</v>
      </c>
      <c r="H763" s="105">
        <v>0</v>
      </c>
      <c r="I763" s="105">
        <v>0</v>
      </c>
      <c r="J763" s="105">
        <v>0</v>
      </c>
      <c r="K763" s="105">
        <v>0</v>
      </c>
      <c r="L763" s="105">
        <v>0</v>
      </c>
      <c r="M763" s="105">
        <v>0</v>
      </c>
      <c r="N763" s="105">
        <v>0</v>
      </c>
    </row>
    <row r="764" spans="2:14" x14ac:dyDescent="0.2">
      <c r="B764" s="60"/>
      <c r="C764" s="59"/>
      <c r="D764" s="59"/>
      <c r="E764" s="59"/>
      <c r="F764" s="139" t="s">
        <v>213</v>
      </c>
      <c r="G764" s="105">
        <v>69695</v>
      </c>
      <c r="H764" s="105">
        <v>0</v>
      </c>
      <c r="I764" s="105">
        <v>0</v>
      </c>
      <c r="J764" s="105">
        <v>0</v>
      </c>
      <c r="K764" s="105">
        <v>0</v>
      </c>
      <c r="L764" s="105">
        <v>0</v>
      </c>
      <c r="M764" s="105">
        <v>0</v>
      </c>
      <c r="N764" s="105">
        <v>0</v>
      </c>
    </row>
    <row r="765" spans="2:14" x14ac:dyDescent="0.2">
      <c r="B765" s="60"/>
      <c r="C765" s="59"/>
      <c r="D765" s="59"/>
      <c r="E765" s="59"/>
      <c r="F765" s="139" t="s">
        <v>203</v>
      </c>
      <c r="G765" s="105">
        <v>16200</v>
      </c>
      <c r="H765" s="105">
        <v>0</v>
      </c>
      <c r="I765" s="105">
        <v>0</v>
      </c>
      <c r="J765" s="105">
        <v>0</v>
      </c>
      <c r="K765" s="105">
        <v>0</v>
      </c>
      <c r="L765" s="105">
        <v>0</v>
      </c>
      <c r="M765" s="105">
        <v>0</v>
      </c>
      <c r="N765" s="105">
        <v>0</v>
      </c>
    </row>
    <row r="766" spans="2:14" x14ac:dyDescent="0.2">
      <c r="B766" s="60"/>
      <c r="C766" s="59"/>
      <c r="D766" s="59"/>
      <c r="E766" s="59"/>
      <c r="F766" s="139" t="s">
        <v>214</v>
      </c>
      <c r="G766" s="105">
        <v>64663</v>
      </c>
      <c r="H766" s="105">
        <v>0</v>
      </c>
      <c r="I766" s="105">
        <v>0</v>
      </c>
      <c r="J766" s="105">
        <v>0</v>
      </c>
      <c r="K766" s="105">
        <v>0</v>
      </c>
      <c r="L766" s="105">
        <v>0</v>
      </c>
      <c r="M766" s="105">
        <v>0</v>
      </c>
      <c r="N766" s="105">
        <v>0</v>
      </c>
    </row>
    <row r="767" spans="2:14" x14ac:dyDescent="0.2">
      <c r="B767" s="60"/>
      <c r="C767" s="59"/>
      <c r="D767" s="59"/>
      <c r="E767" s="59"/>
      <c r="F767" s="139" t="s">
        <v>218</v>
      </c>
      <c r="G767" s="105">
        <v>16486</v>
      </c>
      <c r="H767" s="105">
        <v>0</v>
      </c>
      <c r="I767" s="105">
        <v>0</v>
      </c>
      <c r="J767" s="105">
        <v>0</v>
      </c>
      <c r="K767" s="105">
        <v>0</v>
      </c>
      <c r="L767" s="105">
        <v>0</v>
      </c>
      <c r="M767" s="105">
        <v>0</v>
      </c>
      <c r="N767" s="105">
        <v>0</v>
      </c>
    </row>
    <row r="768" spans="2:14" x14ac:dyDescent="0.2">
      <c r="B768" s="60"/>
      <c r="C768" s="59"/>
      <c r="D768" s="59"/>
      <c r="E768" s="59"/>
      <c r="F768" s="139" t="s">
        <v>173</v>
      </c>
      <c r="G768" s="105">
        <v>-2190705</v>
      </c>
      <c r="H768" s="105">
        <v>0</v>
      </c>
      <c r="I768" s="105">
        <v>0</v>
      </c>
      <c r="J768" s="105">
        <v>0</v>
      </c>
      <c r="K768" s="105">
        <v>0</v>
      </c>
      <c r="L768" s="105">
        <v>0</v>
      </c>
      <c r="M768" s="105">
        <v>0</v>
      </c>
      <c r="N768" s="105">
        <v>0</v>
      </c>
    </row>
    <row r="769" spans="2:14" x14ac:dyDescent="0.2">
      <c r="B769" s="60"/>
      <c r="C769" s="59"/>
      <c r="D769" s="59"/>
      <c r="E769" s="261" t="s">
        <v>170</v>
      </c>
      <c r="F769" s="261"/>
      <c r="G769" s="61">
        <f>G770</f>
        <v>12124</v>
      </c>
      <c r="H769" s="61">
        <f t="shared" ref="H769:N769" si="313">H770</f>
        <v>0</v>
      </c>
      <c r="I769" s="61">
        <f t="shared" si="313"/>
        <v>0</v>
      </c>
      <c r="J769" s="61">
        <f t="shared" si="313"/>
        <v>0</v>
      </c>
      <c r="K769" s="61">
        <f t="shared" si="313"/>
        <v>0</v>
      </c>
      <c r="L769" s="61">
        <f t="shared" si="313"/>
        <v>0</v>
      </c>
      <c r="M769" s="61">
        <f t="shared" si="313"/>
        <v>0</v>
      </c>
      <c r="N769" s="61">
        <f t="shared" si="313"/>
        <v>0</v>
      </c>
    </row>
    <row r="770" spans="2:14" x14ac:dyDescent="0.2">
      <c r="B770" s="60"/>
      <c r="C770" s="59"/>
      <c r="D770" s="59"/>
      <c r="E770" s="59"/>
      <c r="F770" s="139" t="s">
        <v>197</v>
      </c>
      <c r="G770" s="105">
        <v>12124</v>
      </c>
      <c r="H770" s="57">
        <v>0</v>
      </c>
      <c r="I770" s="57">
        <v>0</v>
      </c>
      <c r="J770" s="57">
        <v>0</v>
      </c>
      <c r="K770" s="57">
        <v>0</v>
      </c>
      <c r="L770" s="57">
        <v>0</v>
      </c>
      <c r="M770" s="57">
        <v>0</v>
      </c>
      <c r="N770" s="57">
        <v>0</v>
      </c>
    </row>
    <row r="771" spans="2:14" x14ac:dyDescent="0.2">
      <c r="B771" s="60"/>
      <c r="C771" s="270" t="s">
        <v>221</v>
      </c>
      <c r="D771" s="270"/>
      <c r="E771" s="270"/>
      <c r="F771" s="270"/>
      <c r="G771" s="64">
        <f>G772+G787+G812+G833</f>
        <v>5072130</v>
      </c>
      <c r="H771" s="64">
        <f t="shared" ref="H771:J771" si="314">H772+H787+H812+H833</f>
        <v>7341337</v>
      </c>
      <c r="I771" s="64">
        <f t="shared" si="314"/>
        <v>8975873</v>
      </c>
      <c r="J771" s="64">
        <f t="shared" si="314"/>
        <v>10531169.560000001</v>
      </c>
      <c r="K771" s="64">
        <f>K772+K787+K812+K833</f>
        <v>11235152.129999997</v>
      </c>
      <c r="L771" s="64">
        <f t="shared" ref="L771" si="315">L772+L787+L812+L833</f>
        <v>12177651</v>
      </c>
      <c r="M771" s="64">
        <f t="shared" ref="M771" si="316">M772+M787+M812+M833</f>
        <v>11398553</v>
      </c>
      <c r="N771" s="64">
        <f t="shared" ref="N771" si="317">N772+N787+N812+N833</f>
        <v>12197384</v>
      </c>
    </row>
    <row r="772" spans="2:14" x14ac:dyDescent="0.2">
      <c r="B772" s="60"/>
      <c r="C772" s="59"/>
      <c r="D772" s="268" t="s">
        <v>400</v>
      </c>
      <c r="E772" s="269"/>
      <c r="F772" s="269"/>
      <c r="G772" s="72">
        <f>G773+G778+G780</f>
        <v>418849</v>
      </c>
      <c r="H772" s="72">
        <f t="shared" ref="H772:J772" si="318">H773+H778+H780</f>
        <v>440288</v>
      </c>
      <c r="I772" s="72">
        <f t="shared" si="318"/>
        <v>543084</v>
      </c>
      <c r="J772" s="72">
        <f t="shared" si="318"/>
        <v>537529.96</v>
      </c>
      <c r="K772" s="72">
        <f>K773+K778+K780</f>
        <v>592605.22</v>
      </c>
      <c r="L772" s="72">
        <f t="shared" ref="L772" si="319">L773+L778+L780</f>
        <v>779168</v>
      </c>
      <c r="M772" s="72">
        <f t="shared" ref="M772" si="320">M773+M778+M780</f>
        <v>623885</v>
      </c>
      <c r="N772" s="72">
        <f t="shared" ref="N772" si="321">N773+N778+N780</f>
        <v>797849</v>
      </c>
    </row>
    <row r="773" spans="2:14" x14ac:dyDescent="0.2">
      <c r="B773" s="60"/>
      <c r="C773" s="59"/>
      <c r="D773" s="59"/>
      <c r="E773" s="262" t="s">
        <v>188</v>
      </c>
      <c r="F773" s="262"/>
      <c r="G773" s="73">
        <f>SUM(G774:G777)</f>
        <v>370032</v>
      </c>
      <c r="H773" s="73">
        <f t="shared" ref="H773:J773" si="322">SUM(H774:H777)</f>
        <v>406453</v>
      </c>
      <c r="I773" s="73">
        <f t="shared" si="322"/>
        <v>461474</v>
      </c>
      <c r="J773" s="73">
        <f t="shared" si="322"/>
        <v>509783.62</v>
      </c>
      <c r="K773" s="73">
        <f>SUM(K774:K777)</f>
        <v>561338.55999999994</v>
      </c>
      <c r="L773" s="73">
        <f t="shared" ref="L773" si="323">SUM(L774:L777)</f>
        <v>640584</v>
      </c>
      <c r="M773" s="73">
        <f t="shared" ref="M773" si="324">SUM(M774:M777)</f>
        <v>588607</v>
      </c>
      <c r="N773" s="73">
        <f>SUM(N774:N777)</f>
        <v>618365</v>
      </c>
    </row>
    <row r="774" spans="2:14" x14ac:dyDescent="0.2">
      <c r="B774" s="60"/>
      <c r="C774" s="59"/>
      <c r="D774" s="59"/>
      <c r="E774" s="59"/>
      <c r="F774" s="139" t="s">
        <v>160</v>
      </c>
      <c r="G774" s="105">
        <v>369496</v>
      </c>
      <c r="H774" s="63">
        <v>405185</v>
      </c>
      <c r="I774" s="63">
        <v>457036</v>
      </c>
      <c r="J774" s="63">
        <v>504482.62</v>
      </c>
      <c r="K774" s="63">
        <v>548052.44999999995</v>
      </c>
      <c r="L774" s="63">
        <v>619856</v>
      </c>
      <c r="M774" s="57">
        <v>566414</v>
      </c>
      <c r="N774" s="63">
        <v>587905</v>
      </c>
    </row>
    <row r="775" spans="2:14" x14ac:dyDescent="0.2">
      <c r="B775" s="60"/>
      <c r="C775" s="59"/>
      <c r="D775" s="59"/>
      <c r="E775" s="59"/>
      <c r="F775" s="139" t="s">
        <v>161</v>
      </c>
      <c r="G775" s="105">
        <v>0</v>
      </c>
      <c r="H775" s="57">
        <v>0</v>
      </c>
      <c r="I775" s="57">
        <v>0</v>
      </c>
      <c r="J775" s="57">
        <v>2551</v>
      </c>
      <c r="K775" s="57">
        <v>7648.53</v>
      </c>
      <c r="L775" s="57">
        <v>13728</v>
      </c>
      <c r="M775" s="57">
        <v>22000</v>
      </c>
      <c r="N775" s="57">
        <v>23460</v>
      </c>
    </row>
    <row r="776" spans="2:14" x14ac:dyDescent="0.2">
      <c r="B776" s="60"/>
      <c r="C776" s="59"/>
      <c r="D776" s="59"/>
      <c r="E776" s="59"/>
      <c r="F776" s="139" t="s">
        <v>179</v>
      </c>
      <c r="G776" s="105">
        <v>0</v>
      </c>
      <c r="H776" s="57">
        <v>1268</v>
      </c>
      <c r="I776" s="57">
        <v>3321</v>
      </c>
      <c r="J776" s="57">
        <v>2722.36</v>
      </c>
      <c r="K776" s="57">
        <v>4048.84</v>
      </c>
      <c r="L776" s="57">
        <v>7000</v>
      </c>
      <c r="M776" s="57">
        <v>193</v>
      </c>
      <c r="N776" s="57">
        <v>4120</v>
      </c>
    </row>
    <row r="777" spans="2:14" x14ac:dyDescent="0.2">
      <c r="B777" s="60"/>
      <c r="C777" s="59"/>
      <c r="D777" s="59"/>
      <c r="E777" s="59"/>
      <c r="F777" s="139" t="s">
        <v>172</v>
      </c>
      <c r="G777" s="105">
        <v>536</v>
      </c>
      <c r="H777" s="57">
        <v>0</v>
      </c>
      <c r="I777" s="57">
        <v>1117</v>
      </c>
      <c r="J777" s="57">
        <v>27.64</v>
      </c>
      <c r="K777" s="57">
        <v>1588.74</v>
      </c>
      <c r="L777" s="57">
        <v>0</v>
      </c>
      <c r="M777" s="57">
        <v>0</v>
      </c>
      <c r="N777" s="57">
        <v>2880</v>
      </c>
    </row>
    <row r="778" spans="2:14" x14ac:dyDescent="0.2">
      <c r="B778" s="60"/>
      <c r="C778" s="59"/>
      <c r="D778" s="59"/>
      <c r="E778" s="261" t="s">
        <v>162</v>
      </c>
      <c r="F778" s="261"/>
      <c r="G778" s="58">
        <f>G779</f>
        <v>0</v>
      </c>
      <c r="H778" s="58">
        <f t="shared" ref="H778:J778" si="325">H779</f>
        <v>0</v>
      </c>
      <c r="I778" s="58">
        <f t="shared" si="325"/>
        <v>8988</v>
      </c>
      <c r="J778" s="58">
        <f t="shared" si="325"/>
        <v>0</v>
      </c>
      <c r="K778" s="58">
        <f>K779</f>
        <v>0</v>
      </c>
      <c r="L778" s="58">
        <f t="shared" ref="L778" si="326">L779</f>
        <v>0</v>
      </c>
      <c r="M778" s="58">
        <f t="shared" ref="M778" si="327">M779</f>
        <v>0</v>
      </c>
      <c r="N778" s="58">
        <f t="shared" ref="N778" si="328">N779</f>
        <v>0</v>
      </c>
    </row>
    <row r="779" spans="2:14" x14ac:dyDescent="0.2">
      <c r="B779" s="60"/>
      <c r="C779" s="59"/>
      <c r="D779" s="59"/>
      <c r="E779" s="59"/>
      <c r="F779" s="139" t="s">
        <v>163</v>
      </c>
      <c r="G779" s="105">
        <v>0</v>
      </c>
      <c r="H779" s="63">
        <v>0</v>
      </c>
      <c r="I779" s="63">
        <v>8988</v>
      </c>
      <c r="J779" s="63">
        <v>0</v>
      </c>
      <c r="K779" s="63">
        <v>0</v>
      </c>
      <c r="L779" s="63">
        <v>0</v>
      </c>
      <c r="M779" s="57">
        <v>0</v>
      </c>
      <c r="N779" s="63">
        <v>0</v>
      </c>
    </row>
    <row r="780" spans="2:14" x14ac:dyDescent="0.2">
      <c r="B780" s="60"/>
      <c r="C780" s="59"/>
      <c r="D780" s="59"/>
      <c r="E780" s="261" t="s">
        <v>216</v>
      </c>
      <c r="F780" s="261"/>
      <c r="G780" s="70">
        <f>SUM(G781:G786)</f>
        <v>48817</v>
      </c>
      <c r="H780" s="70">
        <f t="shared" ref="H780:J780" si="329">SUM(H781:H786)</f>
        <v>33835</v>
      </c>
      <c r="I780" s="70">
        <f t="shared" si="329"/>
        <v>72622</v>
      </c>
      <c r="J780" s="70">
        <f t="shared" si="329"/>
        <v>27746.34</v>
      </c>
      <c r="K780" s="70">
        <f>SUM(K781:K786)</f>
        <v>31266.66</v>
      </c>
      <c r="L780" s="70">
        <f t="shared" ref="L780" si="330">SUM(L781:L786)</f>
        <v>138584</v>
      </c>
      <c r="M780" s="70">
        <f t="shared" ref="M780" si="331">SUM(M781:M786)</f>
        <v>35278</v>
      </c>
      <c r="N780" s="70">
        <f>SUM(N781:N786)</f>
        <v>179484</v>
      </c>
    </row>
    <row r="781" spans="2:14" x14ac:dyDescent="0.2">
      <c r="B781" s="60"/>
      <c r="C781" s="59"/>
      <c r="D781" s="59"/>
      <c r="E781" s="59"/>
      <c r="F781" s="139" t="s">
        <v>165</v>
      </c>
      <c r="G781" s="105">
        <v>6940</v>
      </c>
      <c r="H781" s="63">
        <v>15676</v>
      </c>
      <c r="I781" s="63">
        <v>21084</v>
      </c>
      <c r="J781" s="63">
        <f>13761.73+3929.36</f>
        <v>17691.09</v>
      </c>
      <c r="K781" s="63">
        <v>21773.759999999998</v>
      </c>
      <c r="L781" s="63">
        <v>23000</v>
      </c>
      <c r="M781" s="57">
        <v>18754</v>
      </c>
      <c r="N781" s="63">
        <v>26460</v>
      </c>
    </row>
    <row r="782" spans="2:14" x14ac:dyDescent="0.2">
      <c r="B782" s="60"/>
      <c r="C782" s="59"/>
      <c r="D782" s="59"/>
      <c r="E782" s="59"/>
      <c r="F782" s="139" t="s">
        <v>166</v>
      </c>
      <c r="G782" s="105">
        <v>37649</v>
      </c>
      <c r="H782" s="57">
        <v>10759</v>
      </c>
      <c r="I782" s="57">
        <v>42903</v>
      </c>
      <c r="J782" s="57">
        <f>371.29+234.15+119.84+144</f>
        <v>869.28000000000009</v>
      </c>
      <c r="K782" s="57">
        <v>134.4</v>
      </c>
      <c r="L782" s="57">
        <v>3140</v>
      </c>
      <c r="M782" s="57">
        <v>1140</v>
      </c>
      <c r="N782" s="57">
        <v>40140</v>
      </c>
    </row>
    <row r="783" spans="2:14" x14ac:dyDescent="0.2">
      <c r="B783" s="60"/>
      <c r="C783" s="59"/>
      <c r="D783" s="59"/>
      <c r="E783" s="59"/>
      <c r="F783" s="139" t="s">
        <v>178</v>
      </c>
      <c r="G783" s="105">
        <v>3344</v>
      </c>
      <c r="H783" s="57">
        <v>0</v>
      </c>
      <c r="I783" s="57">
        <v>0</v>
      </c>
      <c r="J783" s="57">
        <v>0</v>
      </c>
      <c r="K783" s="57">
        <v>0</v>
      </c>
      <c r="L783" s="57">
        <v>0</v>
      </c>
      <c r="M783" s="57">
        <v>0</v>
      </c>
      <c r="N783" s="57">
        <v>0</v>
      </c>
    </row>
    <row r="784" spans="2:14" x14ac:dyDescent="0.2">
      <c r="B784" s="60"/>
      <c r="C784" s="59"/>
      <c r="D784" s="59"/>
      <c r="E784" s="59"/>
      <c r="F784" s="139" t="s">
        <v>167</v>
      </c>
      <c r="G784" s="105">
        <v>0</v>
      </c>
      <c r="H784" s="57">
        <v>0</v>
      </c>
      <c r="I784" s="57">
        <v>0</v>
      </c>
      <c r="J784" s="57">
        <v>5300</v>
      </c>
      <c r="K784" s="57">
        <v>265</v>
      </c>
      <c r="L784" s="57">
        <v>100000</v>
      </c>
      <c r="M784" s="57">
        <v>6000</v>
      </c>
      <c r="N784" s="57">
        <v>100000</v>
      </c>
    </row>
    <row r="785" spans="2:14" x14ac:dyDescent="0.2">
      <c r="B785" s="60"/>
      <c r="C785" s="59"/>
      <c r="D785" s="59"/>
      <c r="E785" s="59"/>
      <c r="F785" s="139" t="s">
        <v>168</v>
      </c>
      <c r="G785" s="105">
        <v>425</v>
      </c>
      <c r="H785" s="57">
        <v>6963</v>
      </c>
      <c r="I785" s="57">
        <v>8261</v>
      </c>
      <c r="J785" s="57">
        <f>1421.08+1344.44+785</f>
        <v>3550.52</v>
      </c>
      <c r="K785" s="57">
        <v>8317.27</v>
      </c>
      <c r="L785" s="57">
        <v>11564</v>
      </c>
      <c r="M785" s="57">
        <v>8404</v>
      </c>
      <c r="N785" s="57">
        <v>11904</v>
      </c>
    </row>
    <row r="786" spans="2:14" x14ac:dyDescent="0.2">
      <c r="B786" s="60"/>
      <c r="C786" s="59"/>
      <c r="D786" s="59"/>
      <c r="E786" s="59"/>
      <c r="F786" s="139" t="s">
        <v>189</v>
      </c>
      <c r="G786" s="105">
        <v>459</v>
      </c>
      <c r="H786" s="57">
        <v>437</v>
      </c>
      <c r="I786" s="57">
        <v>374</v>
      </c>
      <c r="J786" s="57">
        <v>335.45</v>
      </c>
      <c r="K786" s="57">
        <v>776.23</v>
      </c>
      <c r="L786" s="57">
        <v>880</v>
      </c>
      <c r="M786" s="57">
        <v>980</v>
      </c>
      <c r="N786" s="57">
        <v>980</v>
      </c>
    </row>
    <row r="787" spans="2:14" x14ac:dyDescent="0.2">
      <c r="B787" s="60"/>
      <c r="C787" s="59"/>
      <c r="D787" s="268" t="s">
        <v>401</v>
      </c>
      <c r="E787" s="269"/>
      <c r="F787" s="269"/>
      <c r="G787" s="72">
        <f>G788+G799+G801</f>
        <v>3021150</v>
      </c>
      <c r="H787" s="72">
        <f t="shared" ref="H787:J787" si="332">H788+H799+H801</f>
        <v>3927596</v>
      </c>
      <c r="I787" s="72">
        <f t="shared" si="332"/>
        <v>4789044</v>
      </c>
      <c r="J787" s="72">
        <f t="shared" si="332"/>
        <v>5612106.9700000007</v>
      </c>
      <c r="K787" s="72">
        <f t="shared" ref="K787" si="333">K788+K799+K801</f>
        <v>6166784.7199999988</v>
      </c>
      <c r="L787" s="72">
        <f t="shared" ref="L787" si="334">L788+L799+L801</f>
        <v>6420824</v>
      </c>
      <c r="M787" s="72">
        <f t="shared" ref="M787:N787" si="335">M788+M799+M801</f>
        <v>6112188</v>
      </c>
      <c r="N787" s="72">
        <f t="shared" si="335"/>
        <v>6397323</v>
      </c>
    </row>
    <row r="788" spans="2:14" x14ac:dyDescent="0.2">
      <c r="B788" s="60"/>
      <c r="C788" s="59"/>
      <c r="D788" s="59"/>
      <c r="E788" s="263" t="s">
        <v>159</v>
      </c>
      <c r="F788" s="263"/>
      <c r="G788" s="66">
        <f>SUM(G789:G798)</f>
        <v>1799587</v>
      </c>
      <c r="H788" s="66">
        <f t="shared" ref="H788:J788" si="336">SUM(H789:H798)</f>
        <v>2278867</v>
      </c>
      <c r="I788" s="66">
        <f t="shared" si="336"/>
        <v>2814178</v>
      </c>
      <c r="J788" s="66">
        <f t="shared" si="336"/>
        <v>3021419.83</v>
      </c>
      <c r="K788" s="66">
        <f>SUM(K789:K798)</f>
        <v>3081035.7599999993</v>
      </c>
      <c r="L788" s="66">
        <f t="shared" ref="L788" si="337">SUM(L789:L798)</f>
        <v>3422942</v>
      </c>
      <c r="M788" s="66">
        <f t="shared" ref="M788" si="338">SUM(M789:M798)</f>
        <v>3188709</v>
      </c>
      <c r="N788" s="66">
        <f>SUM(N789:N798)</f>
        <v>3407070</v>
      </c>
    </row>
    <row r="789" spans="2:14" x14ac:dyDescent="0.2">
      <c r="B789" s="60"/>
      <c r="C789" s="59"/>
      <c r="D789" s="59"/>
      <c r="E789" s="59"/>
      <c r="F789" s="139" t="s">
        <v>160</v>
      </c>
      <c r="G789" s="105">
        <v>236807</v>
      </c>
      <c r="H789" s="57">
        <v>284723</v>
      </c>
      <c r="I789" s="57">
        <v>371648</v>
      </c>
      <c r="J789" s="57">
        <v>385359.3</v>
      </c>
      <c r="K789" s="57">
        <v>393482.15</v>
      </c>
      <c r="L789" s="57">
        <v>542963</v>
      </c>
      <c r="M789" s="57">
        <v>447617</v>
      </c>
      <c r="N789" s="57">
        <v>531011</v>
      </c>
    </row>
    <row r="790" spans="2:14" x14ac:dyDescent="0.2">
      <c r="B790" s="60"/>
      <c r="C790" s="59"/>
      <c r="D790" s="59"/>
      <c r="E790" s="59"/>
      <c r="F790" s="139" t="s">
        <v>201</v>
      </c>
      <c r="G790" s="105">
        <v>1439455</v>
      </c>
      <c r="H790" s="57">
        <v>1673739</v>
      </c>
      <c r="I790" s="57">
        <v>1994921</v>
      </c>
      <c r="J790" s="57">
        <v>2035363.86</v>
      </c>
      <c r="K790" s="57">
        <v>2097245.34</v>
      </c>
      <c r="L790" s="57">
        <v>2325783</v>
      </c>
      <c r="M790" s="57">
        <v>2217282</v>
      </c>
      <c r="N790" s="57">
        <v>2311796</v>
      </c>
    </row>
    <row r="791" spans="2:14" x14ac:dyDescent="0.2">
      <c r="B791" s="60"/>
      <c r="C791" s="59"/>
      <c r="D791" s="59"/>
      <c r="E791" s="59"/>
      <c r="F791" s="139" t="s">
        <v>161</v>
      </c>
      <c r="G791" s="105">
        <v>50191</v>
      </c>
      <c r="H791" s="57">
        <v>136911</v>
      </c>
      <c r="I791" s="57">
        <v>200862</v>
      </c>
      <c r="J791" s="57">
        <v>366276.79</v>
      </c>
      <c r="K791" s="57">
        <v>331883.24</v>
      </c>
      <c r="L791" s="57">
        <v>250000</v>
      </c>
      <c r="M791" s="57">
        <v>277436</v>
      </c>
      <c r="N791" s="57">
        <v>256213</v>
      </c>
    </row>
    <row r="792" spans="2:14" x14ac:dyDescent="0.2">
      <c r="B792" s="60"/>
      <c r="C792" s="59"/>
      <c r="D792" s="59"/>
      <c r="E792" s="59"/>
      <c r="F792" s="139" t="s">
        <v>179</v>
      </c>
      <c r="G792" s="105">
        <v>52575</v>
      </c>
      <c r="H792" s="57">
        <v>163693</v>
      </c>
      <c r="I792" s="57">
        <v>207566</v>
      </c>
      <c r="J792" s="57">
        <v>188590.73</v>
      </c>
      <c r="K792" s="57">
        <v>209638.03</v>
      </c>
      <c r="L792" s="57">
        <v>207000</v>
      </c>
      <c r="M792" s="57">
        <v>205218</v>
      </c>
      <c r="N792" s="57">
        <v>207000</v>
      </c>
    </row>
    <row r="793" spans="2:14" x14ac:dyDescent="0.2">
      <c r="B793" s="60"/>
      <c r="C793" s="59"/>
      <c r="D793" s="59"/>
      <c r="E793" s="59"/>
      <c r="F793" s="139" t="s">
        <v>184</v>
      </c>
      <c r="G793" s="105">
        <v>60</v>
      </c>
      <c r="H793" s="57">
        <v>2600</v>
      </c>
      <c r="I793" s="57">
        <v>2352</v>
      </c>
      <c r="J793" s="57">
        <v>1488</v>
      </c>
      <c r="K793" s="57">
        <v>3510</v>
      </c>
      <c r="L793" s="57">
        <v>2200</v>
      </c>
      <c r="M793" s="57">
        <v>2600</v>
      </c>
      <c r="N793" s="57">
        <v>2600</v>
      </c>
    </row>
    <row r="794" spans="2:14" x14ac:dyDescent="0.2">
      <c r="B794" s="60"/>
      <c r="C794" s="59"/>
      <c r="D794" s="59"/>
      <c r="E794" s="59"/>
      <c r="F794" s="139" t="s">
        <v>202</v>
      </c>
      <c r="G794" s="105">
        <v>263</v>
      </c>
      <c r="H794" s="57">
        <v>94</v>
      </c>
      <c r="I794" s="57">
        <v>0</v>
      </c>
      <c r="J794" s="57">
        <v>1456.5</v>
      </c>
      <c r="K794" s="57">
        <v>3970.34</v>
      </c>
      <c r="L794" s="57">
        <v>356</v>
      </c>
      <c r="M794" s="57">
        <v>3816</v>
      </c>
      <c r="N794" s="57">
        <v>3900</v>
      </c>
    </row>
    <row r="795" spans="2:14" x14ac:dyDescent="0.2">
      <c r="B795" s="60"/>
      <c r="C795" s="59"/>
      <c r="D795" s="59"/>
      <c r="E795" s="59"/>
      <c r="F795" s="139" t="s">
        <v>205</v>
      </c>
      <c r="G795" s="105">
        <v>750</v>
      </c>
      <c r="H795" s="57">
        <v>750</v>
      </c>
      <c r="I795" s="57">
        <v>1050</v>
      </c>
      <c r="J795" s="57">
        <v>1050</v>
      </c>
      <c r="K795" s="57">
        <v>1050</v>
      </c>
      <c r="L795" s="57">
        <v>1750</v>
      </c>
      <c r="M795" s="57">
        <v>1750</v>
      </c>
      <c r="N795" s="57">
        <v>1750</v>
      </c>
    </row>
    <row r="796" spans="2:14" x14ac:dyDescent="0.2">
      <c r="B796" s="60"/>
      <c r="C796" s="59"/>
      <c r="D796" s="59"/>
      <c r="E796" s="59"/>
      <c r="F796" s="139" t="s">
        <v>172</v>
      </c>
      <c r="G796" s="105">
        <v>9261</v>
      </c>
      <c r="H796" s="57">
        <v>5407</v>
      </c>
      <c r="I796" s="57">
        <v>11479</v>
      </c>
      <c r="J796" s="57">
        <v>14034.65</v>
      </c>
      <c r="K796" s="57">
        <v>14406.66</v>
      </c>
      <c r="L796" s="57">
        <v>15590</v>
      </c>
      <c r="M796" s="57">
        <v>9690</v>
      </c>
      <c r="N796" s="57">
        <v>15500</v>
      </c>
    </row>
    <row r="797" spans="2:14" x14ac:dyDescent="0.2">
      <c r="B797" s="60"/>
      <c r="C797" s="59"/>
      <c r="D797" s="59"/>
      <c r="E797" s="59"/>
      <c r="F797" s="139" t="s">
        <v>196</v>
      </c>
      <c r="G797" s="105">
        <v>10225</v>
      </c>
      <c r="H797" s="57">
        <v>10950</v>
      </c>
      <c r="I797" s="57">
        <v>15500</v>
      </c>
      <c r="J797" s="57">
        <v>15000</v>
      </c>
      <c r="K797" s="57">
        <v>14750</v>
      </c>
      <c r="L797" s="57">
        <v>12500</v>
      </c>
      <c r="M797" s="57">
        <v>12500</v>
      </c>
      <c r="N797" s="57">
        <v>12500</v>
      </c>
    </row>
    <row r="798" spans="2:14" x14ac:dyDescent="0.2">
      <c r="B798" s="60"/>
      <c r="C798" s="59"/>
      <c r="D798" s="59"/>
      <c r="E798" s="59"/>
      <c r="F798" s="139" t="s">
        <v>203</v>
      </c>
      <c r="G798" s="105">
        <v>0</v>
      </c>
      <c r="H798" s="57">
        <v>0</v>
      </c>
      <c r="I798" s="57">
        <v>8800</v>
      </c>
      <c r="J798" s="57">
        <v>12800</v>
      </c>
      <c r="K798" s="57">
        <v>11100</v>
      </c>
      <c r="L798" s="57">
        <v>64800</v>
      </c>
      <c r="M798" s="57">
        <v>10800</v>
      </c>
      <c r="N798" s="57">
        <v>64800</v>
      </c>
    </row>
    <row r="799" spans="2:14" x14ac:dyDescent="0.2">
      <c r="B799" s="60"/>
      <c r="C799" s="59"/>
      <c r="D799" s="59"/>
      <c r="E799" s="261" t="s">
        <v>162</v>
      </c>
      <c r="F799" s="261"/>
      <c r="G799" s="71">
        <f>G800</f>
        <v>13164</v>
      </c>
      <c r="H799" s="71">
        <f>H800</f>
        <v>21182</v>
      </c>
      <c r="I799" s="71">
        <f t="shared" ref="I799:N799" si="339">I800</f>
        <v>155680</v>
      </c>
      <c r="J799" s="71">
        <f t="shared" si="339"/>
        <v>15122.32</v>
      </c>
      <c r="K799" s="71">
        <f t="shared" si="339"/>
        <v>44814.239999999998</v>
      </c>
      <c r="L799" s="71">
        <f t="shared" si="339"/>
        <v>45000</v>
      </c>
      <c r="M799" s="71">
        <f t="shared" si="339"/>
        <v>42578</v>
      </c>
      <c r="N799" s="71">
        <f t="shared" si="339"/>
        <v>45000</v>
      </c>
    </row>
    <row r="800" spans="2:14" x14ac:dyDescent="0.2">
      <c r="B800" s="60"/>
      <c r="C800" s="59"/>
      <c r="D800" s="59"/>
      <c r="E800" s="59"/>
      <c r="F800" s="140" t="s">
        <v>186</v>
      </c>
      <c r="G800" s="105">
        <v>13164</v>
      </c>
      <c r="H800" s="69">
        <v>21182</v>
      </c>
      <c r="I800" s="69">
        <v>155680</v>
      </c>
      <c r="J800" s="69">
        <v>15122.32</v>
      </c>
      <c r="K800" s="69">
        <v>44814.239999999998</v>
      </c>
      <c r="L800" s="69">
        <v>45000</v>
      </c>
      <c r="M800" s="63">
        <v>42578</v>
      </c>
      <c r="N800" s="69">
        <v>45000</v>
      </c>
    </row>
    <row r="801" spans="2:14" x14ac:dyDescent="0.2">
      <c r="B801" s="60"/>
      <c r="C801" s="59"/>
      <c r="D801" s="59"/>
      <c r="E801" s="261" t="s">
        <v>216</v>
      </c>
      <c r="F801" s="261"/>
      <c r="G801" s="70">
        <f>SUM(G802:G811)</f>
        <v>1208399</v>
      </c>
      <c r="H801" s="70">
        <f t="shared" ref="H801:K801" si="340">SUM(H802:H811)</f>
        <v>1627547</v>
      </c>
      <c r="I801" s="70">
        <f t="shared" si="340"/>
        <v>1819186</v>
      </c>
      <c r="J801" s="70">
        <f t="shared" si="340"/>
        <v>2575564.8200000003</v>
      </c>
      <c r="K801" s="70">
        <f t="shared" si="340"/>
        <v>3040934.7199999997</v>
      </c>
      <c r="L801" s="70">
        <f t="shared" ref="L801" si="341">SUM(L802:L811)</f>
        <v>2952882</v>
      </c>
      <c r="M801" s="70">
        <f t="shared" ref="M801:N801" si="342">SUM(M802:M811)</f>
        <v>2880901</v>
      </c>
      <c r="N801" s="70">
        <f t="shared" si="342"/>
        <v>2945253</v>
      </c>
    </row>
    <row r="802" spans="2:14" x14ac:dyDescent="0.2">
      <c r="B802" s="60"/>
      <c r="C802" s="59"/>
      <c r="D802" s="59"/>
      <c r="E802" s="59"/>
      <c r="F802" s="139" t="s">
        <v>207</v>
      </c>
      <c r="G802" s="105">
        <v>205</v>
      </c>
      <c r="H802" s="69">
        <v>491</v>
      </c>
      <c r="I802" s="69">
        <v>326</v>
      </c>
      <c r="J802" s="69">
        <f>126+221.4</f>
        <v>347.4</v>
      </c>
      <c r="K802" s="69">
        <v>317.52999999999997</v>
      </c>
      <c r="L802" s="69">
        <v>750</v>
      </c>
      <c r="M802" s="57">
        <v>392</v>
      </c>
      <c r="N802" s="69">
        <v>750</v>
      </c>
    </row>
    <row r="803" spans="2:14" x14ac:dyDescent="0.2">
      <c r="B803" s="60"/>
      <c r="C803" s="59"/>
      <c r="D803" s="59"/>
      <c r="E803" s="59"/>
      <c r="F803" s="139" t="s">
        <v>208</v>
      </c>
      <c r="G803" s="105">
        <v>5003</v>
      </c>
      <c r="H803" s="57">
        <v>6920</v>
      </c>
      <c r="I803" s="57">
        <v>20036</v>
      </c>
      <c r="J803" s="57">
        <f>3921.48+2224.41</f>
        <v>6145.8899999999994</v>
      </c>
      <c r="K803" s="57">
        <v>20178.120000000003</v>
      </c>
      <c r="L803" s="57">
        <v>17500</v>
      </c>
      <c r="M803" s="57">
        <v>15175</v>
      </c>
      <c r="N803" s="57">
        <v>25000</v>
      </c>
    </row>
    <row r="804" spans="2:14" x14ac:dyDescent="0.2">
      <c r="B804" s="60"/>
      <c r="C804" s="59"/>
      <c r="D804" s="59"/>
      <c r="E804" s="59"/>
      <c r="F804" s="139" t="s">
        <v>166</v>
      </c>
      <c r="G804" s="105">
        <v>1173752</v>
      </c>
      <c r="H804" s="57">
        <v>1436244</v>
      </c>
      <c r="I804" s="57">
        <v>1609062</v>
      </c>
      <c r="J804" s="57">
        <f>104471.54+59298.5+66500.04+280.27+189.91+286640.92+6321+100870.57+1744839.91+54212.81</f>
        <v>2423625.4700000002</v>
      </c>
      <c r="K804" s="57">
        <v>2729140</v>
      </c>
      <c r="L804" s="57">
        <v>2735151</v>
      </c>
      <c r="M804" s="57">
        <v>2748693</v>
      </c>
      <c r="N804" s="57">
        <v>2759934</v>
      </c>
    </row>
    <row r="805" spans="2:14" x14ac:dyDescent="0.2">
      <c r="B805" s="60"/>
      <c r="C805" s="59"/>
      <c r="D805" s="59"/>
      <c r="E805" s="59"/>
      <c r="F805" s="139" t="s">
        <v>187</v>
      </c>
      <c r="G805" s="105">
        <v>1177</v>
      </c>
      <c r="H805" s="57">
        <v>986</v>
      </c>
      <c r="I805" s="57">
        <v>1092</v>
      </c>
      <c r="J805" s="57">
        <v>308.44</v>
      </c>
      <c r="K805" s="57">
        <v>302.89999999999998</v>
      </c>
      <c r="L805" s="57">
        <v>1500</v>
      </c>
      <c r="M805" s="57">
        <v>950</v>
      </c>
      <c r="N805" s="57">
        <v>1500</v>
      </c>
    </row>
    <row r="806" spans="2:14" x14ac:dyDescent="0.2">
      <c r="B806" s="60"/>
      <c r="C806" s="59"/>
      <c r="D806" s="59"/>
      <c r="E806" s="59"/>
      <c r="F806" s="139" t="s">
        <v>197</v>
      </c>
      <c r="G806" s="105">
        <v>6897</v>
      </c>
      <c r="H806" s="57">
        <v>3438</v>
      </c>
      <c r="I806" s="57">
        <v>7465</v>
      </c>
      <c r="J806" s="57">
        <v>8361.02</v>
      </c>
      <c r="K806" s="57">
        <v>6189.85</v>
      </c>
      <c r="L806" s="57">
        <v>15000</v>
      </c>
      <c r="M806" s="57">
        <v>14885</v>
      </c>
      <c r="N806" s="57">
        <v>15000</v>
      </c>
    </row>
    <row r="807" spans="2:14" x14ac:dyDescent="0.2">
      <c r="B807" s="60"/>
      <c r="C807" s="59"/>
      <c r="D807" s="59"/>
      <c r="E807" s="59"/>
      <c r="F807" s="139" t="s">
        <v>167</v>
      </c>
      <c r="G807" s="105">
        <v>20823</v>
      </c>
      <c r="H807" s="57">
        <v>75732</v>
      </c>
      <c r="I807" s="57">
        <v>41506</v>
      </c>
      <c r="J807" s="57">
        <v>64042.42</v>
      </c>
      <c r="K807" s="57">
        <v>84046.7</v>
      </c>
      <c r="L807" s="57">
        <v>150000</v>
      </c>
      <c r="M807" s="57">
        <v>67000</v>
      </c>
      <c r="N807" s="57">
        <v>90000</v>
      </c>
    </row>
    <row r="808" spans="2:14" x14ac:dyDescent="0.2">
      <c r="B808" s="60"/>
      <c r="C808" s="59"/>
      <c r="D808" s="59"/>
      <c r="E808" s="59"/>
      <c r="F808" s="139" t="s">
        <v>168</v>
      </c>
      <c r="G808" s="105">
        <v>3215</v>
      </c>
      <c r="H808" s="57">
        <v>8694</v>
      </c>
      <c r="I808" s="57">
        <v>10762</v>
      </c>
      <c r="J808" s="57">
        <f>90.12+6577+681.25</f>
        <v>7348.37</v>
      </c>
      <c r="K808" s="57">
        <v>6821.01</v>
      </c>
      <c r="L808" s="57">
        <v>9590</v>
      </c>
      <c r="M808" s="57">
        <v>5160</v>
      </c>
      <c r="N808" s="57">
        <v>9590</v>
      </c>
    </row>
    <row r="809" spans="2:14" x14ac:dyDescent="0.2">
      <c r="B809" s="60"/>
      <c r="C809" s="59"/>
      <c r="D809" s="59"/>
      <c r="E809" s="59"/>
      <c r="F809" s="139" t="s">
        <v>175</v>
      </c>
      <c r="G809" s="105">
        <v>0</v>
      </c>
      <c r="H809" s="57">
        <v>0</v>
      </c>
      <c r="I809" s="57">
        <v>109157</v>
      </c>
      <c r="J809" s="57">
        <v>38574.65</v>
      </c>
      <c r="K809" s="57">
        <v>114680.46</v>
      </c>
      <c r="L809" s="57">
        <v>163545</v>
      </c>
      <c r="M809" s="57">
        <v>76637</v>
      </c>
      <c r="N809" s="57">
        <v>152851</v>
      </c>
    </row>
    <row r="810" spans="2:14" x14ac:dyDescent="0.2">
      <c r="B810" s="60"/>
      <c r="C810" s="59"/>
      <c r="D810" s="59"/>
      <c r="E810" s="59"/>
      <c r="F810" s="139" t="s">
        <v>222</v>
      </c>
      <c r="G810" s="105">
        <v>18327</v>
      </c>
      <c r="H810" s="57">
        <v>95042</v>
      </c>
      <c r="I810" s="57">
        <v>19780</v>
      </c>
      <c r="J810" s="57">
        <v>26811.16</v>
      </c>
      <c r="K810" s="57">
        <v>79258.149999999994</v>
      </c>
      <c r="L810" s="57">
        <v>0</v>
      </c>
      <c r="M810" s="57">
        <v>0</v>
      </c>
      <c r="N810" s="57">
        <v>0</v>
      </c>
    </row>
    <row r="811" spans="2:14" x14ac:dyDescent="0.2">
      <c r="B811" s="60"/>
      <c r="C811" s="59"/>
      <c r="D811" s="59"/>
      <c r="E811" s="59"/>
      <c r="F811" s="139" t="s">
        <v>177</v>
      </c>
      <c r="G811" s="105">
        <v>-21000</v>
      </c>
      <c r="H811" s="57">
        <v>0</v>
      </c>
      <c r="I811" s="57">
        <v>0</v>
      </c>
      <c r="J811" s="57">
        <v>0</v>
      </c>
      <c r="K811" s="57">
        <v>0</v>
      </c>
      <c r="L811" s="57">
        <v>-140154</v>
      </c>
      <c r="M811" s="57">
        <v>-47991</v>
      </c>
      <c r="N811" s="57">
        <v>-109372</v>
      </c>
    </row>
    <row r="812" spans="2:14" x14ac:dyDescent="0.2">
      <c r="B812" s="60"/>
      <c r="C812" s="59"/>
      <c r="D812" s="268" t="s">
        <v>402</v>
      </c>
      <c r="E812" s="269"/>
      <c r="F812" s="269"/>
      <c r="G812" s="67">
        <f t="shared" ref="G812:N812" si="343">G813+G823+G826</f>
        <v>1518045</v>
      </c>
      <c r="H812" s="67">
        <f t="shared" si="343"/>
        <v>2884975</v>
      </c>
      <c r="I812" s="67">
        <f t="shared" si="343"/>
        <v>3554021</v>
      </c>
      <c r="J812" s="67">
        <f t="shared" si="343"/>
        <v>4094708.26</v>
      </c>
      <c r="K812" s="67">
        <f t="shared" si="343"/>
        <v>4062032.9899999998</v>
      </c>
      <c r="L812" s="67">
        <f t="shared" si="343"/>
        <v>4483911</v>
      </c>
      <c r="M812" s="73">
        <f t="shared" si="343"/>
        <v>4295270</v>
      </c>
      <c r="N812" s="67">
        <f t="shared" si="343"/>
        <v>4516072</v>
      </c>
    </row>
    <row r="813" spans="2:14" x14ac:dyDescent="0.2">
      <c r="B813" s="60"/>
      <c r="C813" s="59"/>
      <c r="D813" s="59"/>
      <c r="E813" s="268" t="s">
        <v>159</v>
      </c>
      <c r="F813" s="268"/>
      <c r="G813" s="68">
        <f t="shared" ref="G813:N813" si="344">SUM(G814:G822)</f>
        <v>1311919</v>
      </c>
      <c r="H813" s="68">
        <f t="shared" si="344"/>
        <v>2607811</v>
      </c>
      <c r="I813" s="68">
        <f t="shared" si="344"/>
        <v>3188862</v>
      </c>
      <c r="J813" s="68">
        <f t="shared" si="344"/>
        <v>3610810.23</v>
      </c>
      <c r="K813" s="68">
        <f t="shared" si="344"/>
        <v>3667447.07</v>
      </c>
      <c r="L813" s="68">
        <f t="shared" si="344"/>
        <v>3946770</v>
      </c>
      <c r="M813" s="61">
        <f t="shared" si="344"/>
        <v>3899778</v>
      </c>
      <c r="N813" s="68">
        <f t="shared" si="344"/>
        <v>3907430</v>
      </c>
    </row>
    <row r="814" spans="2:14" x14ac:dyDescent="0.2">
      <c r="B814" s="60"/>
      <c r="C814" s="59"/>
      <c r="D814" s="59"/>
      <c r="E814" s="59"/>
      <c r="F814" s="139" t="s">
        <v>160</v>
      </c>
      <c r="G814" s="105">
        <v>888133</v>
      </c>
      <c r="H814" s="57">
        <v>1074407</v>
      </c>
      <c r="I814" s="57">
        <v>1370765</v>
      </c>
      <c r="J814" s="57">
        <v>1392098.68</v>
      </c>
      <c r="K814" s="57">
        <v>1395402</v>
      </c>
      <c r="L814" s="57">
        <v>1551380</v>
      </c>
      <c r="M814" s="57">
        <v>1539294</v>
      </c>
      <c r="N814" s="57">
        <v>1483111</v>
      </c>
    </row>
    <row r="815" spans="2:14" x14ac:dyDescent="0.2">
      <c r="B815" s="60"/>
      <c r="C815" s="59"/>
      <c r="D815" s="59"/>
      <c r="E815" s="59"/>
      <c r="F815" s="139" t="s">
        <v>201</v>
      </c>
      <c r="G815" s="105">
        <v>145551</v>
      </c>
      <c r="H815" s="57">
        <v>245295</v>
      </c>
      <c r="I815" s="57">
        <v>252672</v>
      </c>
      <c r="J815" s="57">
        <v>364577.21</v>
      </c>
      <c r="K815" s="57">
        <v>345941.03</v>
      </c>
      <c r="L815" s="57">
        <v>404750</v>
      </c>
      <c r="M815" s="57">
        <v>372560</v>
      </c>
      <c r="N815" s="57">
        <v>404751</v>
      </c>
    </row>
    <row r="816" spans="2:14" x14ac:dyDescent="0.2">
      <c r="B816" s="60"/>
      <c r="C816" s="59"/>
      <c r="D816" s="59"/>
      <c r="E816" s="59"/>
      <c r="F816" s="139" t="s">
        <v>161</v>
      </c>
      <c r="G816" s="105">
        <v>245656</v>
      </c>
      <c r="H816" s="57">
        <v>1173842</v>
      </c>
      <c r="I816" s="57">
        <v>1424827</v>
      </c>
      <c r="J816" s="57">
        <v>1696877.81</v>
      </c>
      <c r="K816" s="57">
        <v>1779366.4</v>
      </c>
      <c r="L816" s="57">
        <v>1838040</v>
      </c>
      <c r="M816" s="57">
        <v>1870369</v>
      </c>
      <c r="N816" s="57">
        <v>1916168</v>
      </c>
    </row>
    <row r="817" spans="2:14" x14ac:dyDescent="0.2">
      <c r="B817" s="60"/>
      <c r="C817" s="59"/>
      <c r="D817" s="59"/>
      <c r="E817" s="59"/>
      <c r="F817" s="139" t="s">
        <v>179</v>
      </c>
      <c r="G817" s="105">
        <v>16046</v>
      </c>
      <c r="H817" s="57">
        <v>92811</v>
      </c>
      <c r="I817" s="57">
        <v>119156</v>
      </c>
      <c r="J817" s="57">
        <v>124012.98</v>
      </c>
      <c r="K817" s="57">
        <v>107762.77</v>
      </c>
      <c r="L817" s="57">
        <v>130000</v>
      </c>
      <c r="M817" s="57">
        <v>99360</v>
      </c>
      <c r="N817" s="57">
        <v>100000</v>
      </c>
    </row>
    <row r="818" spans="2:14" x14ac:dyDescent="0.2">
      <c r="B818" s="60"/>
      <c r="C818" s="59"/>
      <c r="D818" s="59"/>
      <c r="E818" s="59"/>
      <c r="F818" s="139" t="s">
        <v>184</v>
      </c>
      <c r="G818" s="105">
        <v>16070</v>
      </c>
      <c r="H818" s="57">
        <v>19900</v>
      </c>
      <c r="I818" s="57">
        <v>19900</v>
      </c>
      <c r="J818" s="57">
        <v>28581.78</v>
      </c>
      <c r="K818" s="57">
        <v>19759.79</v>
      </c>
      <c r="L818" s="57">
        <v>22000</v>
      </c>
      <c r="M818" s="57">
        <v>17600</v>
      </c>
      <c r="N818" s="57">
        <v>19800</v>
      </c>
    </row>
    <row r="819" spans="2:14" x14ac:dyDescent="0.2">
      <c r="B819" s="60"/>
      <c r="C819" s="59"/>
      <c r="D819" s="59"/>
      <c r="E819" s="59"/>
      <c r="F819" s="139" t="s">
        <v>202</v>
      </c>
      <c r="G819" s="105">
        <v>463</v>
      </c>
      <c r="H819" s="57">
        <v>404</v>
      </c>
      <c r="I819" s="57">
        <v>481</v>
      </c>
      <c r="J819" s="57">
        <v>282.67</v>
      </c>
      <c r="K819" s="57">
        <v>451.27</v>
      </c>
      <c r="L819" s="57">
        <v>600</v>
      </c>
      <c r="M819" s="57">
        <v>595</v>
      </c>
      <c r="N819" s="57">
        <v>800</v>
      </c>
    </row>
    <row r="820" spans="2:14" x14ac:dyDescent="0.2">
      <c r="B820" s="60"/>
      <c r="C820" s="59"/>
      <c r="D820" s="59"/>
      <c r="E820" s="59"/>
      <c r="F820" s="139" t="s">
        <v>172</v>
      </c>
      <c r="G820" s="105">
        <v>0</v>
      </c>
      <c r="H820" s="57">
        <v>1152</v>
      </c>
      <c r="I820" s="57">
        <v>1061</v>
      </c>
      <c r="J820" s="57">
        <v>4379.1000000000004</v>
      </c>
      <c r="K820" s="57">
        <v>18513.810000000001</v>
      </c>
      <c r="L820" s="57">
        <v>0</v>
      </c>
      <c r="M820" s="57">
        <v>0</v>
      </c>
      <c r="N820" s="57">
        <v>1500</v>
      </c>
    </row>
    <row r="821" spans="2:14" x14ac:dyDescent="0.2">
      <c r="B821" s="60"/>
      <c r="C821" s="59"/>
      <c r="D821" s="59"/>
      <c r="E821" s="59"/>
      <c r="F821" s="153" t="s">
        <v>196</v>
      </c>
      <c r="G821" s="105">
        <v>0</v>
      </c>
      <c r="H821" s="57">
        <v>0</v>
      </c>
      <c r="I821" s="57">
        <v>0</v>
      </c>
      <c r="J821" s="57">
        <v>0</v>
      </c>
      <c r="K821" s="57">
        <v>250</v>
      </c>
      <c r="L821" s="57">
        <v>0</v>
      </c>
      <c r="M821" s="57">
        <v>0</v>
      </c>
      <c r="N821" s="57">
        <v>0</v>
      </c>
    </row>
    <row r="822" spans="2:14" x14ac:dyDescent="0.2">
      <c r="B822" s="60"/>
      <c r="C822" s="59"/>
      <c r="D822" s="59"/>
      <c r="E822" s="59"/>
      <c r="F822" s="139" t="s">
        <v>177</v>
      </c>
      <c r="G822" s="105">
        <v>0</v>
      </c>
      <c r="H822" s="57">
        <v>0</v>
      </c>
      <c r="I822" s="57">
        <v>0</v>
      </c>
      <c r="J822" s="57">
        <v>0</v>
      </c>
      <c r="K822" s="57">
        <v>0</v>
      </c>
      <c r="L822" s="57">
        <v>0</v>
      </c>
      <c r="M822" s="57">
        <v>0</v>
      </c>
      <c r="N822" s="57">
        <v>-18700</v>
      </c>
    </row>
    <row r="823" spans="2:14" x14ac:dyDescent="0.2">
      <c r="B823" s="60"/>
      <c r="C823" s="59"/>
      <c r="D823" s="59"/>
      <c r="E823" s="261" t="s">
        <v>162</v>
      </c>
      <c r="F823" s="261"/>
      <c r="G823" s="58">
        <f t="shared" ref="G823:N823" si="345">SUM(G824:G825)</f>
        <v>0</v>
      </c>
      <c r="H823" s="58">
        <f t="shared" si="345"/>
        <v>34937</v>
      </c>
      <c r="I823" s="58">
        <f t="shared" si="345"/>
        <v>0</v>
      </c>
      <c r="J823" s="58">
        <f t="shared" si="345"/>
        <v>0</v>
      </c>
      <c r="K823" s="58">
        <f t="shared" si="345"/>
        <v>0</v>
      </c>
      <c r="L823" s="58">
        <f t="shared" si="345"/>
        <v>0</v>
      </c>
      <c r="M823" s="64">
        <f t="shared" si="345"/>
        <v>0</v>
      </c>
      <c r="N823" s="58">
        <f t="shared" si="345"/>
        <v>0</v>
      </c>
    </row>
    <row r="824" spans="2:14" x14ac:dyDescent="0.2">
      <c r="B824" s="60"/>
      <c r="C824" s="59"/>
      <c r="D824" s="59"/>
      <c r="E824" s="59"/>
      <c r="F824" s="139" t="s">
        <v>163</v>
      </c>
      <c r="G824" s="105">
        <v>0</v>
      </c>
      <c r="H824" s="63">
        <v>34937</v>
      </c>
      <c r="I824" s="63">
        <v>0</v>
      </c>
      <c r="J824" s="63">
        <v>0</v>
      </c>
      <c r="K824" s="63">
        <v>0</v>
      </c>
      <c r="L824" s="63">
        <v>0</v>
      </c>
      <c r="M824" s="57">
        <v>0</v>
      </c>
      <c r="N824" s="57">
        <v>0</v>
      </c>
    </row>
    <row r="825" spans="2:14" x14ac:dyDescent="0.2">
      <c r="B825" s="60"/>
      <c r="C825" s="59"/>
      <c r="D825" s="59"/>
      <c r="E825" s="59"/>
      <c r="F825" s="140" t="s">
        <v>186</v>
      </c>
      <c r="G825" s="105">
        <v>0</v>
      </c>
      <c r="H825" s="105">
        <v>0</v>
      </c>
      <c r="I825" s="105">
        <v>0</v>
      </c>
      <c r="J825" s="105">
        <v>0</v>
      </c>
      <c r="K825" s="105">
        <v>0</v>
      </c>
      <c r="L825" s="105">
        <v>0</v>
      </c>
      <c r="M825" s="105">
        <v>0</v>
      </c>
      <c r="N825" s="105">
        <v>0</v>
      </c>
    </row>
    <row r="826" spans="2:14" x14ac:dyDescent="0.2">
      <c r="B826" s="60"/>
      <c r="C826" s="59"/>
      <c r="D826" s="59"/>
      <c r="E826" s="261" t="s">
        <v>216</v>
      </c>
      <c r="F826" s="261"/>
      <c r="G826" s="64">
        <f t="shared" ref="G826:N826" si="346">SUM(G827:G832)</f>
        <v>206126</v>
      </c>
      <c r="H826" s="64">
        <f t="shared" si="346"/>
        <v>242227</v>
      </c>
      <c r="I826" s="64">
        <f t="shared" si="346"/>
        <v>365159</v>
      </c>
      <c r="J826" s="64">
        <f t="shared" si="346"/>
        <v>483898.03</v>
      </c>
      <c r="K826" s="64">
        <f t="shared" si="346"/>
        <v>394585.92</v>
      </c>
      <c r="L826" s="64">
        <f t="shared" si="346"/>
        <v>537141</v>
      </c>
      <c r="M826" s="64">
        <f t="shared" si="346"/>
        <v>395492</v>
      </c>
      <c r="N826" s="64">
        <f t="shared" si="346"/>
        <v>608642</v>
      </c>
    </row>
    <row r="827" spans="2:14" x14ac:dyDescent="0.2">
      <c r="B827" s="60"/>
      <c r="C827" s="59"/>
      <c r="D827" s="59"/>
      <c r="E827" s="137"/>
      <c r="F827" s="139" t="s">
        <v>165</v>
      </c>
      <c r="G827" s="57">
        <v>0</v>
      </c>
      <c r="H827" s="57">
        <v>0</v>
      </c>
      <c r="I827" s="57">
        <v>0</v>
      </c>
      <c r="J827" s="57">
        <v>0</v>
      </c>
      <c r="K827" s="57">
        <v>0</v>
      </c>
      <c r="L827" s="57">
        <v>0</v>
      </c>
      <c r="M827" s="57">
        <v>0</v>
      </c>
      <c r="N827" s="57">
        <v>0</v>
      </c>
    </row>
    <row r="828" spans="2:14" x14ac:dyDescent="0.2">
      <c r="B828" s="60"/>
      <c r="C828" s="59"/>
      <c r="D828" s="59"/>
      <c r="E828" s="59"/>
      <c r="F828" s="139" t="s">
        <v>166</v>
      </c>
      <c r="G828" s="105">
        <v>70941</v>
      </c>
      <c r="H828" s="57">
        <v>152179</v>
      </c>
      <c r="I828" s="57">
        <v>201226</v>
      </c>
      <c r="J828" s="57">
        <f>204.25+345.48+1425+9576.09+40073.96+12417.5+67048.28+70678.89+78113.46</f>
        <v>279882.91000000003</v>
      </c>
      <c r="K828" s="57">
        <v>257941</v>
      </c>
      <c r="L828" s="57">
        <v>278860</v>
      </c>
      <c r="M828" s="57">
        <v>243233</v>
      </c>
      <c r="N828" s="57">
        <v>301125</v>
      </c>
    </row>
    <row r="829" spans="2:14" x14ac:dyDescent="0.2">
      <c r="B829" s="60"/>
      <c r="C829" s="59"/>
      <c r="D829" s="59"/>
      <c r="E829" s="59"/>
      <c r="F829" s="139" t="s">
        <v>178</v>
      </c>
      <c r="G829" s="105">
        <v>1790</v>
      </c>
      <c r="H829" s="57">
        <v>2049</v>
      </c>
      <c r="I829" s="57">
        <v>2075</v>
      </c>
      <c r="J829" s="57">
        <v>2191.19</v>
      </c>
      <c r="K829" s="57">
        <v>0</v>
      </c>
      <c r="L829" s="57">
        <v>0</v>
      </c>
      <c r="M829" s="57">
        <v>0</v>
      </c>
      <c r="N829" s="57">
        <v>0</v>
      </c>
    </row>
    <row r="830" spans="2:14" x14ac:dyDescent="0.2">
      <c r="B830" s="60"/>
      <c r="C830" s="59"/>
      <c r="D830" s="59"/>
      <c r="E830" s="59"/>
      <c r="F830" s="139" t="s">
        <v>167</v>
      </c>
      <c r="G830" s="105">
        <v>131850</v>
      </c>
      <c r="H830" s="57">
        <v>79834</v>
      </c>
      <c r="I830" s="57">
        <v>154361</v>
      </c>
      <c r="J830" s="57">
        <v>195123.93</v>
      </c>
      <c r="K830" s="57">
        <v>130482.42</v>
      </c>
      <c r="L830" s="57">
        <v>159925</v>
      </c>
      <c r="M830" s="57">
        <v>129422</v>
      </c>
      <c r="N830" s="57">
        <v>207800</v>
      </c>
    </row>
    <row r="831" spans="2:14" x14ac:dyDescent="0.2">
      <c r="B831" s="60"/>
      <c r="C831" s="59"/>
      <c r="D831" s="59"/>
      <c r="E831" s="59"/>
      <c r="F831" s="139" t="s">
        <v>168</v>
      </c>
      <c r="G831" s="105">
        <v>1545</v>
      </c>
      <c r="H831" s="57">
        <v>8165</v>
      </c>
      <c r="I831" s="57">
        <v>7497</v>
      </c>
      <c r="J831" s="57">
        <f>356.94+5983.06+360</f>
        <v>6700</v>
      </c>
      <c r="K831" s="57">
        <v>6162.5</v>
      </c>
      <c r="L831" s="57">
        <v>7000</v>
      </c>
      <c r="M831" s="57">
        <v>5515</v>
      </c>
      <c r="N831" s="57">
        <v>7000</v>
      </c>
    </row>
    <row r="832" spans="2:14" x14ac:dyDescent="0.2">
      <c r="B832" s="60"/>
      <c r="C832" s="59"/>
      <c r="D832" s="59"/>
      <c r="E832" s="59"/>
      <c r="F832" s="139" t="s">
        <v>175</v>
      </c>
      <c r="G832" s="105">
        <v>0</v>
      </c>
      <c r="H832" s="57">
        <v>0</v>
      </c>
      <c r="I832" s="57">
        <v>0</v>
      </c>
      <c r="J832" s="57">
        <v>0</v>
      </c>
      <c r="K832" s="57">
        <v>0</v>
      </c>
      <c r="L832" s="57">
        <v>91356</v>
      </c>
      <c r="M832" s="57">
        <v>17322</v>
      </c>
      <c r="N832" s="57">
        <v>92717</v>
      </c>
    </row>
    <row r="833" spans="2:14" x14ac:dyDescent="0.2">
      <c r="B833" s="60"/>
      <c r="C833" s="59"/>
      <c r="D833" s="263" t="s">
        <v>403</v>
      </c>
      <c r="E833" s="276"/>
      <c r="F833" s="276"/>
      <c r="G833" s="67">
        <f t="shared" ref="G833:N833" si="347">G834+G838</f>
        <v>114086</v>
      </c>
      <c r="H833" s="67">
        <f t="shared" si="347"/>
        <v>88478</v>
      </c>
      <c r="I833" s="67">
        <f t="shared" si="347"/>
        <v>89724</v>
      </c>
      <c r="J833" s="67">
        <f t="shared" si="347"/>
        <v>286824.37</v>
      </c>
      <c r="K833" s="67">
        <f t="shared" si="347"/>
        <v>413729.19999999995</v>
      </c>
      <c r="L833" s="67">
        <f t="shared" si="347"/>
        <v>493748</v>
      </c>
      <c r="M833" s="73">
        <f t="shared" si="347"/>
        <v>367210</v>
      </c>
      <c r="N833" s="67">
        <f t="shared" si="347"/>
        <v>486140</v>
      </c>
    </row>
    <row r="834" spans="2:14" x14ac:dyDescent="0.2">
      <c r="B834" s="60"/>
      <c r="C834" s="59"/>
      <c r="D834" s="59"/>
      <c r="E834" s="263" t="s">
        <v>159</v>
      </c>
      <c r="F834" s="263"/>
      <c r="G834" s="66">
        <f t="shared" ref="G834:N834" si="348">SUM(G835:G837)</f>
        <v>0</v>
      </c>
      <c r="H834" s="66">
        <f t="shared" si="348"/>
        <v>0</v>
      </c>
      <c r="I834" s="66">
        <f t="shared" si="348"/>
        <v>0</v>
      </c>
      <c r="J834" s="66">
        <f t="shared" si="348"/>
        <v>182784.25999999998</v>
      </c>
      <c r="K834" s="66">
        <f t="shared" si="348"/>
        <v>272337.28999999998</v>
      </c>
      <c r="L834" s="66">
        <f t="shared" si="348"/>
        <v>290748</v>
      </c>
      <c r="M834" s="61">
        <f t="shared" si="348"/>
        <v>212973</v>
      </c>
      <c r="N834" s="66">
        <f t="shared" si="348"/>
        <v>288140</v>
      </c>
    </row>
    <row r="835" spans="2:14" x14ac:dyDescent="0.2">
      <c r="B835" s="60"/>
      <c r="C835" s="59"/>
      <c r="D835" s="59"/>
      <c r="E835" s="59"/>
      <c r="F835" s="139" t="s">
        <v>160</v>
      </c>
      <c r="G835" s="105">
        <v>0</v>
      </c>
      <c r="H835" s="57">
        <v>0</v>
      </c>
      <c r="I835" s="57">
        <v>0</v>
      </c>
      <c r="J835" s="57">
        <v>179729.4</v>
      </c>
      <c r="K835" s="57">
        <v>258629.47</v>
      </c>
      <c r="L835" s="57">
        <v>280748</v>
      </c>
      <c r="M835" s="57">
        <v>189298</v>
      </c>
      <c r="N835" s="57">
        <v>262140</v>
      </c>
    </row>
    <row r="836" spans="2:14" x14ac:dyDescent="0.2">
      <c r="B836" s="60"/>
      <c r="C836" s="59"/>
      <c r="D836" s="59"/>
      <c r="E836" s="59"/>
      <c r="F836" s="139" t="s">
        <v>179</v>
      </c>
      <c r="G836" s="105">
        <v>0</v>
      </c>
      <c r="H836" s="57">
        <v>0</v>
      </c>
      <c r="I836" s="57">
        <v>0</v>
      </c>
      <c r="J836" s="57">
        <v>3054.86</v>
      </c>
      <c r="K836" s="105">
        <v>7454.82</v>
      </c>
      <c r="L836" s="57">
        <v>10000</v>
      </c>
      <c r="M836" s="63">
        <v>9300</v>
      </c>
      <c r="N836" s="57">
        <v>11000</v>
      </c>
    </row>
    <row r="837" spans="2:14" x14ac:dyDescent="0.2">
      <c r="B837" s="60"/>
      <c r="C837" s="59"/>
      <c r="D837" s="59"/>
      <c r="E837" s="59"/>
      <c r="F837" s="139" t="s">
        <v>172</v>
      </c>
      <c r="G837" s="105">
        <v>0</v>
      </c>
      <c r="H837" s="105">
        <v>0</v>
      </c>
      <c r="I837" s="105">
        <v>0</v>
      </c>
      <c r="J837" s="105">
        <v>0</v>
      </c>
      <c r="K837" s="105">
        <v>6253</v>
      </c>
      <c r="L837" s="105">
        <v>0</v>
      </c>
      <c r="M837" s="57">
        <v>14375</v>
      </c>
      <c r="N837" s="57">
        <v>15000</v>
      </c>
    </row>
    <row r="838" spans="2:14" x14ac:dyDescent="0.2">
      <c r="B838" s="60"/>
      <c r="C838" s="59"/>
      <c r="D838" s="59"/>
      <c r="E838" s="261" t="s">
        <v>170</v>
      </c>
      <c r="F838" s="261"/>
      <c r="G838" s="61">
        <f t="shared" ref="G838:N838" si="349">SUM(G839:G840)</f>
        <v>114086</v>
      </c>
      <c r="H838" s="61">
        <f t="shared" si="349"/>
        <v>88478</v>
      </c>
      <c r="I838" s="61">
        <f t="shared" si="349"/>
        <v>89724</v>
      </c>
      <c r="J838" s="61">
        <f t="shared" si="349"/>
        <v>104040.11</v>
      </c>
      <c r="K838" s="61">
        <f t="shared" si="349"/>
        <v>141391.91</v>
      </c>
      <c r="L838" s="61">
        <f t="shared" si="349"/>
        <v>203000</v>
      </c>
      <c r="M838" s="61">
        <f t="shared" si="349"/>
        <v>154237</v>
      </c>
      <c r="N838" s="61">
        <f t="shared" si="349"/>
        <v>198000</v>
      </c>
    </row>
    <row r="839" spans="2:14" x14ac:dyDescent="0.2">
      <c r="B839" s="60"/>
      <c r="C839" s="59"/>
      <c r="D839" s="59"/>
      <c r="E839" s="59"/>
      <c r="F839" s="139" t="s">
        <v>166</v>
      </c>
      <c r="G839" s="105">
        <v>0</v>
      </c>
      <c r="H839" s="57">
        <v>0</v>
      </c>
      <c r="I839" s="57">
        <v>0</v>
      </c>
      <c r="J839" s="57">
        <v>4224.21</v>
      </c>
      <c r="K839" s="57">
        <v>7770.67</v>
      </c>
      <c r="L839" s="57">
        <v>20000</v>
      </c>
      <c r="M839" s="57">
        <v>3900</v>
      </c>
      <c r="N839" s="57">
        <v>15000</v>
      </c>
    </row>
    <row r="840" spans="2:14" ht="13.5" thickBot="1" x14ac:dyDescent="0.25">
      <c r="B840" s="114"/>
      <c r="C840" s="115"/>
      <c r="D840" s="115"/>
      <c r="E840" s="115"/>
      <c r="F840" s="116" t="s">
        <v>167</v>
      </c>
      <c r="G840" s="117">
        <v>114086</v>
      </c>
      <c r="H840" s="118">
        <v>88478</v>
      </c>
      <c r="I840" s="118">
        <v>89724</v>
      </c>
      <c r="J840" s="118">
        <v>99815.9</v>
      </c>
      <c r="K840" s="118">
        <v>133621.24</v>
      </c>
      <c r="L840" s="118">
        <v>183000</v>
      </c>
      <c r="M840" s="118">
        <v>150337</v>
      </c>
      <c r="N840" s="118">
        <v>183000</v>
      </c>
    </row>
    <row r="841" spans="2:14" x14ac:dyDescent="0.2">
      <c r="B841" s="274" t="s">
        <v>223</v>
      </c>
      <c r="C841" s="274"/>
      <c r="D841" s="274"/>
      <c r="E841" s="274"/>
      <c r="F841" s="274"/>
      <c r="G841" s="113">
        <f t="shared" ref="G841:N841" si="350">SUM(G842:G899)</f>
        <v>85280490</v>
      </c>
      <c r="H841" s="113">
        <f t="shared" si="350"/>
        <v>87635408</v>
      </c>
      <c r="I841" s="113">
        <f t="shared" si="350"/>
        <v>97351453</v>
      </c>
      <c r="J841" s="113">
        <f t="shared" si="350"/>
        <v>91387230.009999976</v>
      </c>
      <c r="K841" s="113">
        <f t="shared" si="350"/>
        <v>107608520.00999999</v>
      </c>
      <c r="L841" s="113">
        <f t="shared" si="350"/>
        <v>116142222</v>
      </c>
      <c r="M841" s="113">
        <f t="shared" si="350"/>
        <v>112499628</v>
      </c>
      <c r="N841" s="113">
        <f t="shared" si="350"/>
        <v>126115636</v>
      </c>
    </row>
    <row r="842" spans="2:14" x14ac:dyDescent="0.2">
      <c r="B842" s="60"/>
      <c r="C842" s="60"/>
      <c r="D842" s="59"/>
      <c r="E842" s="59"/>
      <c r="F842" s="65" t="s">
        <v>224</v>
      </c>
      <c r="G842" s="105">
        <v>34085</v>
      </c>
      <c r="H842" s="57">
        <v>278917</v>
      </c>
      <c r="I842" s="57">
        <v>594623</v>
      </c>
      <c r="J842" s="57">
        <v>630367.75</v>
      </c>
      <c r="K842" s="57">
        <v>591539.5</v>
      </c>
      <c r="L842" s="57">
        <v>750000</v>
      </c>
      <c r="M842" s="57">
        <v>591000</v>
      </c>
      <c r="N842" s="55">
        <v>750000</v>
      </c>
    </row>
    <row r="843" spans="2:14" x14ac:dyDescent="0.2">
      <c r="B843" s="60"/>
      <c r="C843" s="60"/>
      <c r="D843" s="59"/>
      <c r="E843" s="59"/>
      <c r="F843" s="65" t="s">
        <v>225</v>
      </c>
      <c r="G843" s="105">
        <v>172063</v>
      </c>
      <c r="H843" s="57">
        <v>169985</v>
      </c>
      <c r="I843" s="57">
        <v>141400</v>
      </c>
      <c r="J843" s="57">
        <v>126600.11</v>
      </c>
      <c r="K843" s="57">
        <v>125212.56</v>
      </c>
      <c r="L843" s="57">
        <v>185000</v>
      </c>
      <c r="M843" s="57">
        <v>125000</v>
      </c>
      <c r="N843" s="55">
        <v>125000</v>
      </c>
    </row>
    <row r="844" spans="2:14" x14ac:dyDescent="0.2">
      <c r="B844" s="60"/>
      <c r="C844" s="60"/>
      <c r="D844" s="59"/>
      <c r="E844" s="59"/>
      <c r="F844" s="65" t="s">
        <v>226</v>
      </c>
      <c r="G844" s="105">
        <v>212528</v>
      </c>
      <c r="H844" s="57">
        <v>347494</v>
      </c>
      <c r="I844" s="57">
        <v>634720</v>
      </c>
      <c r="J844" s="57">
        <f>376892.52</f>
        <v>376892.52</v>
      </c>
      <c r="K844" s="57">
        <v>490547</v>
      </c>
      <c r="L844" s="57">
        <v>500000</v>
      </c>
      <c r="M844" s="57">
        <v>491531</v>
      </c>
      <c r="N844" s="55">
        <v>500000</v>
      </c>
    </row>
    <row r="845" spans="2:14" x14ac:dyDescent="0.2">
      <c r="B845" s="60"/>
      <c r="C845" s="60"/>
      <c r="D845" s="59"/>
      <c r="E845" s="59"/>
      <c r="F845" s="65" t="s">
        <v>227</v>
      </c>
      <c r="G845" s="105">
        <v>287202</v>
      </c>
      <c r="H845" s="57">
        <v>209037</v>
      </c>
      <c r="I845" s="57">
        <v>293236</v>
      </c>
      <c r="J845" s="57">
        <v>334141.38</v>
      </c>
      <c r="K845" s="57">
        <v>371198.73</v>
      </c>
      <c r="L845" s="57">
        <v>310240</v>
      </c>
      <c r="M845" s="57">
        <v>307982</v>
      </c>
      <c r="N845" s="55">
        <v>330240</v>
      </c>
    </row>
    <row r="846" spans="2:14" x14ac:dyDescent="0.2">
      <c r="B846" s="60"/>
      <c r="C846" s="60"/>
      <c r="D846" s="59"/>
      <c r="E846" s="59"/>
      <c r="F846" s="65" t="s">
        <v>228</v>
      </c>
      <c r="G846" s="105">
        <v>8675</v>
      </c>
      <c r="H846" s="57">
        <v>6260</v>
      </c>
      <c r="I846" s="57">
        <v>0</v>
      </c>
      <c r="J846" s="57">
        <v>0</v>
      </c>
      <c r="K846" s="57">
        <v>0</v>
      </c>
      <c r="L846" s="57">
        <v>20000</v>
      </c>
      <c r="M846" s="57">
        <v>7800</v>
      </c>
      <c r="N846" s="55">
        <v>20000</v>
      </c>
    </row>
    <row r="847" spans="2:14" x14ac:dyDescent="0.2">
      <c r="B847" s="60"/>
      <c r="C847" s="60"/>
      <c r="D847" s="59"/>
      <c r="E847" s="59"/>
      <c r="F847" s="65" t="s">
        <v>229</v>
      </c>
      <c r="G847" s="105">
        <v>98473</v>
      </c>
      <c r="H847" s="57">
        <v>161383</v>
      </c>
      <c r="I847" s="57">
        <v>173954</v>
      </c>
      <c r="J847" s="57">
        <v>89096.07</v>
      </c>
      <c r="K847" s="57">
        <v>168949.63</v>
      </c>
      <c r="L847" s="57">
        <v>260800</v>
      </c>
      <c r="M847" s="57">
        <v>207767</v>
      </c>
      <c r="N847" s="55">
        <v>260800</v>
      </c>
    </row>
    <row r="848" spans="2:14" x14ac:dyDescent="0.2">
      <c r="B848" s="60"/>
      <c r="C848" s="60"/>
      <c r="D848" s="59"/>
      <c r="E848" s="59"/>
      <c r="F848" s="65" t="s">
        <v>230</v>
      </c>
      <c r="G848" s="105">
        <v>25060</v>
      </c>
      <c r="H848" s="57">
        <v>15879</v>
      </c>
      <c r="I848" s="57">
        <v>29651</v>
      </c>
      <c r="J848" s="57">
        <v>30761.5</v>
      </c>
      <c r="K848" s="57">
        <v>26474</v>
      </c>
      <c r="L848" s="57">
        <v>31064</v>
      </c>
      <c r="M848" s="57">
        <v>29514</v>
      </c>
      <c r="N848" s="55">
        <v>32104</v>
      </c>
    </row>
    <row r="849" spans="2:14" x14ac:dyDescent="0.2">
      <c r="B849" s="60"/>
      <c r="C849" s="60"/>
      <c r="D849" s="59"/>
      <c r="E849" s="59"/>
      <c r="F849" s="65" t="s">
        <v>231</v>
      </c>
      <c r="G849" s="105">
        <v>196871</v>
      </c>
      <c r="H849" s="57">
        <v>199392</v>
      </c>
      <c r="I849" s="57">
        <v>198031</v>
      </c>
      <c r="J849" s="57">
        <v>0</v>
      </c>
      <c r="K849" s="57">
        <v>0</v>
      </c>
      <c r="L849" s="57">
        <v>0</v>
      </c>
      <c r="M849" s="57">
        <v>0</v>
      </c>
      <c r="N849" s="55">
        <v>0</v>
      </c>
    </row>
    <row r="850" spans="2:14" x14ac:dyDescent="0.2">
      <c r="B850" s="60"/>
      <c r="C850" s="60"/>
      <c r="D850" s="59"/>
      <c r="E850" s="59"/>
      <c r="F850" s="65" t="s">
        <v>232</v>
      </c>
      <c r="G850" s="105">
        <v>0</v>
      </c>
      <c r="H850" s="57">
        <v>0</v>
      </c>
      <c r="I850" s="57">
        <v>0</v>
      </c>
      <c r="J850" s="57">
        <v>92947.83</v>
      </c>
      <c r="K850" s="57">
        <v>0</v>
      </c>
      <c r="L850" s="57">
        <v>50000</v>
      </c>
      <c r="M850" s="57">
        <v>10000</v>
      </c>
      <c r="N850" s="55">
        <v>50000</v>
      </c>
    </row>
    <row r="851" spans="2:14" x14ac:dyDescent="0.2">
      <c r="B851" s="60"/>
      <c r="C851" s="60"/>
      <c r="D851" s="59"/>
      <c r="E851" s="59"/>
      <c r="F851" s="65" t="s">
        <v>233</v>
      </c>
      <c r="G851" s="105">
        <v>255691</v>
      </c>
      <c r="H851" s="57">
        <v>334316</v>
      </c>
      <c r="I851" s="57">
        <v>339304</v>
      </c>
      <c r="J851" s="57">
        <v>305866</v>
      </c>
      <c r="K851" s="57">
        <v>373137</v>
      </c>
      <c r="L851" s="57">
        <v>370000</v>
      </c>
      <c r="M851" s="57">
        <v>369100</v>
      </c>
      <c r="N851" s="55">
        <v>370000</v>
      </c>
    </row>
    <row r="852" spans="2:14" x14ac:dyDescent="0.2">
      <c r="B852" s="60"/>
      <c r="C852" s="60"/>
      <c r="D852" s="59"/>
      <c r="E852" s="59"/>
      <c r="F852" s="65" t="s">
        <v>234</v>
      </c>
      <c r="G852" s="105">
        <v>266710</v>
      </c>
      <c r="H852" s="57">
        <v>77949</v>
      </c>
      <c r="I852" s="57">
        <v>110836</v>
      </c>
      <c r="J852" s="57">
        <v>50151.65</v>
      </c>
      <c r="K852" s="57">
        <v>67826.149999999994</v>
      </c>
      <c r="L852" s="57">
        <v>70000</v>
      </c>
      <c r="M852" s="57">
        <v>75494</v>
      </c>
      <c r="N852" s="55">
        <v>77000</v>
      </c>
    </row>
    <row r="853" spans="2:14" x14ac:dyDescent="0.2">
      <c r="B853" s="60"/>
      <c r="C853" s="60"/>
      <c r="D853" s="59"/>
      <c r="E853" s="59"/>
      <c r="F853" s="65" t="s">
        <v>235</v>
      </c>
      <c r="G853" s="105">
        <v>123000</v>
      </c>
      <c r="H853" s="57">
        <v>137850</v>
      </c>
      <c r="I853" s="57">
        <v>136450</v>
      </c>
      <c r="J853" s="57">
        <v>137000</v>
      </c>
      <c r="K853" s="57">
        <v>146986.35</v>
      </c>
      <c r="L853" s="57">
        <v>144000</v>
      </c>
      <c r="M853" s="57">
        <v>130750</v>
      </c>
      <c r="N853" s="55">
        <v>144000</v>
      </c>
    </row>
    <row r="854" spans="2:14" x14ac:dyDescent="0.2">
      <c r="B854" s="60"/>
      <c r="C854" s="60"/>
      <c r="D854" s="59"/>
      <c r="E854" s="59"/>
      <c r="F854" s="65" t="s">
        <v>236</v>
      </c>
      <c r="G854" s="105">
        <v>43995</v>
      </c>
      <c r="H854" s="57">
        <v>11914</v>
      </c>
      <c r="I854" s="57">
        <v>0</v>
      </c>
      <c r="J854" s="57">
        <v>0</v>
      </c>
      <c r="K854" s="57">
        <v>0</v>
      </c>
      <c r="L854" s="57">
        <v>51500</v>
      </c>
      <c r="M854" s="57">
        <v>10000</v>
      </c>
      <c r="N854" s="55">
        <v>51500</v>
      </c>
    </row>
    <row r="855" spans="2:14" x14ac:dyDescent="0.2">
      <c r="B855" s="60"/>
      <c r="C855" s="60"/>
      <c r="D855" s="59"/>
      <c r="E855" s="59"/>
      <c r="F855" s="65" t="s">
        <v>237</v>
      </c>
      <c r="G855" s="105">
        <v>11138</v>
      </c>
      <c r="H855" s="57">
        <v>0</v>
      </c>
      <c r="I855" s="57">
        <v>0</v>
      </c>
      <c r="J855" s="57">
        <v>9018</v>
      </c>
      <c r="K855" s="57">
        <v>88522.96</v>
      </c>
      <c r="L855" s="57">
        <v>30000</v>
      </c>
      <c r="M855" s="57">
        <v>15000</v>
      </c>
      <c r="N855" s="55">
        <v>30000</v>
      </c>
    </row>
    <row r="856" spans="2:14" x14ac:dyDescent="0.2">
      <c r="B856" s="60"/>
      <c r="C856" s="60"/>
      <c r="D856" s="59"/>
      <c r="E856" s="59"/>
      <c r="F856" s="65" t="s">
        <v>238</v>
      </c>
      <c r="G856" s="105">
        <v>0</v>
      </c>
      <c r="H856" s="57">
        <v>0</v>
      </c>
      <c r="I856" s="57">
        <v>0</v>
      </c>
      <c r="J856" s="57">
        <v>0</v>
      </c>
      <c r="K856" s="57">
        <v>0</v>
      </c>
      <c r="L856" s="57">
        <v>23800</v>
      </c>
      <c r="M856" s="57">
        <v>10000</v>
      </c>
      <c r="N856" s="55">
        <v>23800</v>
      </c>
    </row>
    <row r="857" spans="2:14" x14ac:dyDescent="0.2">
      <c r="B857" s="60"/>
      <c r="C857" s="60"/>
      <c r="D857" s="59"/>
      <c r="E857" s="59"/>
      <c r="F857" s="65" t="s">
        <v>239</v>
      </c>
      <c r="G857" s="105">
        <v>5869</v>
      </c>
      <c r="H857" s="57">
        <v>6554</v>
      </c>
      <c r="I857" s="57">
        <v>7935</v>
      </c>
      <c r="J857" s="57">
        <v>10387.5</v>
      </c>
      <c r="K857" s="57">
        <v>10996.5</v>
      </c>
      <c r="L857" s="57">
        <v>15000</v>
      </c>
      <c r="M857" s="57">
        <v>11365</v>
      </c>
      <c r="N857" s="55">
        <v>15000</v>
      </c>
    </row>
    <row r="858" spans="2:14" x14ac:dyDescent="0.2">
      <c r="B858" s="60"/>
      <c r="C858" s="60"/>
      <c r="D858" s="59"/>
      <c r="E858" s="59"/>
      <c r="F858" s="65" t="s">
        <v>540</v>
      </c>
      <c r="G858" s="105">
        <v>500000</v>
      </c>
      <c r="H858" s="57">
        <v>500000</v>
      </c>
      <c r="I858" s="57">
        <v>750000</v>
      </c>
      <c r="J858" s="57">
        <v>750000</v>
      </c>
      <c r="K858" s="57">
        <v>1250000</v>
      </c>
      <c r="L858" s="57">
        <v>750000</v>
      </c>
      <c r="M858" s="57">
        <v>750000</v>
      </c>
      <c r="N858" s="55">
        <v>750000</v>
      </c>
    </row>
    <row r="859" spans="2:14" x14ac:dyDescent="0.2">
      <c r="B859" s="60"/>
      <c r="C859" s="60"/>
      <c r="D859" s="59"/>
      <c r="E859" s="59"/>
      <c r="F859" s="65" t="s">
        <v>240</v>
      </c>
      <c r="G859" s="105">
        <v>35000</v>
      </c>
      <c r="H859" s="57">
        <v>15000</v>
      </c>
      <c r="I859" s="57">
        <v>25000</v>
      </c>
      <c r="J859" s="57">
        <v>25000</v>
      </c>
      <c r="K859" s="57">
        <v>50000</v>
      </c>
      <c r="L859" s="57">
        <v>50000</v>
      </c>
      <c r="M859" s="57">
        <v>50000</v>
      </c>
      <c r="N859" s="55">
        <v>75000</v>
      </c>
    </row>
    <row r="860" spans="2:14" x14ac:dyDescent="0.2">
      <c r="B860" s="60"/>
      <c r="C860" s="60"/>
      <c r="D860" s="59"/>
      <c r="E860" s="59"/>
      <c r="F860" s="65" t="s">
        <v>241</v>
      </c>
      <c r="G860" s="105">
        <v>13930</v>
      </c>
      <c r="H860" s="57">
        <v>20020</v>
      </c>
      <c r="I860" s="57">
        <v>20000</v>
      </c>
      <c r="J860" s="57">
        <v>0</v>
      </c>
      <c r="K860" s="57">
        <v>180196.95</v>
      </c>
      <c r="L860" s="57">
        <v>199250</v>
      </c>
      <c r="M860" s="57">
        <v>196820</v>
      </c>
      <c r="N860" s="55">
        <v>246860</v>
      </c>
    </row>
    <row r="861" spans="2:14" x14ac:dyDescent="0.2">
      <c r="B861" s="60"/>
      <c r="C861" s="60"/>
      <c r="D861" s="59"/>
      <c r="E861" s="59"/>
      <c r="F861" s="65" t="s">
        <v>242</v>
      </c>
      <c r="G861" s="105">
        <v>21000</v>
      </c>
      <c r="H861" s="57">
        <v>21000</v>
      </c>
      <c r="I861" s="57">
        <v>21000</v>
      </c>
      <c r="J861" s="57">
        <v>21000</v>
      </c>
      <c r="K861" s="57">
        <v>21000</v>
      </c>
      <c r="L861" s="57">
        <v>21000</v>
      </c>
      <c r="M861" s="57">
        <v>21000</v>
      </c>
      <c r="N861" s="55">
        <v>21000</v>
      </c>
    </row>
    <row r="862" spans="2:14" x14ac:dyDescent="0.2">
      <c r="B862" s="60"/>
      <c r="C862" s="60"/>
      <c r="D862" s="59"/>
      <c r="E862" s="59"/>
      <c r="F862" s="65" t="s">
        <v>243</v>
      </c>
      <c r="G862" s="105">
        <v>157737</v>
      </c>
      <c r="H862" s="57">
        <v>316353</v>
      </c>
      <c r="I862" s="57">
        <v>378994</v>
      </c>
      <c r="J862" s="57">
        <v>381040.25</v>
      </c>
      <c r="K862" s="57">
        <v>371432.5</v>
      </c>
      <c r="L862" s="57">
        <v>407200</v>
      </c>
      <c r="M862" s="57">
        <v>21600</v>
      </c>
      <c r="N862" s="55">
        <v>580200</v>
      </c>
    </row>
    <row r="863" spans="2:14" x14ac:dyDescent="0.2">
      <c r="B863" s="60"/>
      <c r="C863" s="60"/>
      <c r="D863" s="59"/>
      <c r="E863" s="59"/>
      <c r="F863" s="65" t="s">
        <v>555</v>
      </c>
      <c r="G863" s="105">
        <v>0</v>
      </c>
      <c r="H863" s="57">
        <v>0</v>
      </c>
      <c r="I863" s="57">
        <v>0</v>
      </c>
      <c r="J863" s="57">
        <v>0</v>
      </c>
      <c r="K863" s="57">
        <v>0</v>
      </c>
      <c r="L863" s="57">
        <v>0</v>
      </c>
      <c r="M863" s="57">
        <v>0</v>
      </c>
      <c r="N863" s="55">
        <v>500000</v>
      </c>
    </row>
    <row r="864" spans="2:14" x14ac:dyDescent="0.2">
      <c r="B864" s="60"/>
      <c r="C864" s="60"/>
      <c r="D864" s="59"/>
      <c r="E864" s="59"/>
      <c r="F864" s="65" t="s">
        <v>244</v>
      </c>
      <c r="G864" s="105">
        <v>0</v>
      </c>
      <c r="H864" s="57">
        <v>0</v>
      </c>
      <c r="I864" s="57">
        <v>0</v>
      </c>
      <c r="J864" s="57">
        <v>0</v>
      </c>
      <c r="K864" s="57">
        <v>23500</v>
      </c>
      <c r="L864" s="57">
        <v>53500</v>
      </c>
      <c r="M864" s="57">
        <v>23500</v>
      </c>
      <c r="N864" s="55">
        <v>73500</v>
      </c>
    </row>
    <row r="865" spans="2:14" x14ac:dyDescent="0.2">
      <c r="B865" s="60"/>
      <c r="C865" s="60"/>
      <c r="D865" s="59"/>
      <c r="E865" s="59"/>
      <c r="F865" s="65" t="s">
        <v>245</v>
      </c>
      <c r="G865" s="105">
        <v>455438</v>
      </c>
      <c r="H865" s="57">
        <v>285750</v>
      </c>
      <c r="I865" s="57">
        <v>182854</v>
      </c>
      <c r="J865" s="57">
        <v>132917.67000000001</v>
      </c>
      <c r="K865" s="57">
        <v>284078.3</v>
      </c>
      <c r="L865" s="57">
        <v>0</v>
      </c>
      <c r="M865" s="57">
        <v>0</v>
      </c>
      <c r="N865" s="55">
        <v>125000</v>
      </c>
    </row>
    <row r="866" spans="2:14" x14ac:dyDescent="0.2">
      <c r="B866" s="60"/>
      <c r="C866" s="60"/>
      <c r="D866" s="59"/>
      <c r="E866" s="59"/>
      <c r="F866" s="65" t="s">
        <v>246</v>
      </c>
      <c r="G866" s="105">
        <v>12500</v>
      </c>
      <c r="H866" s="57">
        <v>12500</v>
      </c>
      <c r="I866" s="57">
        <v>15000</v>
      </c>
      <c r="J866" s="57">
        <v>15000</v>
      </c>
      <c r="K866" s="57">
        <v>15000</v>
      </c>
      <c r="L866" s="57">
        <v>15000</v>
      </c>
      <c r="M866" s="57">
        <v>15000</v>
      </c>
      <c r="N866" s="55">
        <v>15000</v>
      </c>
    </row>
    <row r="867" spans="2:14" x14ac:dyDescent="0.2">
      <c r="B867" s="60"/>
      <c r="C867" s="60"/>
      <c r="D867" s="59"/>
      <c r="E867" s="59"/>
      <c r="F867" s="65" t="s">
        <v>247</v>
      </c>
      <c r="G867" s="105">
        <v>1845</v>
      </c>
      <c r="H867" s="57">
        <v>1964</v>
      </c>
      <c r="I867" s="57">
        <v>9874</v>
      </c>
      <c r="J867" s="57">
        <v>10150.94</v>
      </c>
      <c r="K867" s="57">
        <v>9559.9</v>
      </c>
      <c r="L867" s="57">
        <v>12500</v>
      </c>
      <c r="M867" s="57">
        <v>12500</v>
      </c>
      <c r="N867" s="55">
        <v>12500</v>
      </c>
    </row>
    <row r="868" spans="2:14" x14ac:dyDescent="0.2">
      <c r="B868" s="60"/>
      <c r="C868" s="60"/>
      <c r="D868" s="59"/>
      <c r="E868" s="59"/>
      <c r="F868" s="65" t="s">
        <v>248</v>
      </c>
      <c r="G868" s="105">
        <v>0</v>
      </c>
      <c r="H868" s="57">
        <v>10000</v>
      </c>
      <c r="I868" s="57">
        <v>10000</v>
      </c>
      <c r="J868" s="57">
        <v>15000</v>
      </c>
      <c r="K868" s="57">
        <v>15000</v>
      </c>
      <c r="L868" s="57">
        <v>15000</v>
      </c>
      <c r="M868" s="57">
        <v>15000</v>
      </c>
      <c r="N868" s="55">
        <v>15000</v>
      </c>
    </row>
    <row r="869" spans="2:14" x14ac:dyDescent="0.2">
      <c r="B869" s="60"/>
      <c r="C869" s="60"/>
      <c r="D869" s="59"/>
      <c r="E869" s="59"/>
      <c r="F869" s="65" t="s">
        <v>249</v>
      </c>
      <c r="G869" s="105">
        <v>0</v>
      </c>
      <c r="H869" s="57">
        <v>0</v>
      </c>
      <c r="I869" s="57">
        <v>0</v>
      </c>
      <c r="J869" s="57">
        <v>0</v>
      </c>
      <c r="K869" s="57">
        <v>700000</v>
      </c>
      <c r="L869" s="57">
        <v>700000</v>
      </c>
      <c r="M869" s="57">
        <v>700000</v>
      </c>
      <c r="N869" s="55">
        <v>700000</v>
      </c>
    </row>
    <row r="870" spans="2:14" x14ac:dyDescent="0.2">
      <c r="B870" s="60"/>
      <c r="C870" s="60"/>
      <c r="D870" s="59"/>
      <c r="E870" s="59"/>
      <c r="F870" s="65" t="s">
        <v>250</v>
      </c>
      <c r="G870" s="105">
        <v>0</v>
      </c>
      <c r="H870" s="57">
        <v>0</v>
      </c>
      <c r="I870" s="57">
        <v>0</v>
      </c>
      <c r="J870" s="57">
        <v>0</v>
      </c>
      <c r="K870" s="57">
        <v>0</v>
      </c>
      <c r="L870" s="57">
        <v>200000</v>
      </c>
      <c r="M870" s="57">
        <v>0</v>
      </c>
      <c r="N870" s="55">
        <v>0</v>
      </c>
    </row>
    <row r="871" spans="2:14" x14ac:dyDescent="0.2">
      <c r="B871" s="60"/>
      <c r="C871" s="60"/>
      <c r="D871" s="59"/>
      <c r="E871" s="59"/>
      <c r="F871" s="65" t="s">
        <v>251</v>
      </c>
      <c r="G871" s="105">
        <v>0</v>
      </c>
      <c r="H871" s="57">
        <v>0</v>
      </c>
      <c r="I871" s="57">
        <v>0</v>
      </c>
      <c r="J871" s="57">
        <v>0</v>
      </c>
      <c r="K871" s="57">
        <v>0</v>
      </c>
      <c r="L871" s="57">
        <v>375000</v>
      </c>
      <c r="M871" s="57">
        <v>175000</v>
      </c>
      <c r="N871" s="55">
        <v>375000</v>
      </c>
    </row>
    <row r="872" spans="2:14" x14ac:dyDescent="0.2">
      <c r="B872" s="60"/>
      <c r="C872" s="60"/>
      <c r="D872" s="59"/>
      <c r="E872" s="59"/>
      <c r="F872" s="65" t="s">
        <v>252</v>
      </c>
      <c r="G872" s="105">
        <v>0</v>
      </c>
      <c r="H872" s="57">
        <v>0</v>
      </c>
      <c r="I872" s="57">
        <v>0</v>
      </c>
      <c r="J872" s="57">
        <v>0</v>
      </c>
      <c r="K872" s="57">
        <v>50000</v>
      </c>
      <c r="L872" s="57">
        <v>50000</v>
      </c>
      <c r="M872" s="57">
        <v>50000</v>
      </c>
      <c r="N872" s="55">
        <v>50000</v>
      </c>
    </row>
    <row r="873" spans="2:14" x14ac:dyDescent="0.2">
      <c r="B873" s="60"/>
      <c r="C873" s="60"/>
      <c r="D873" s="59"/>
      <c r="E873" s="59"/>
      <c r="F873" s="65" t="s">
        <v>253</v>
      </c>
      <c r="G873" s="105">
        <v>0</v>
      </c>
      <c r="H873" s="57">
        <v>0</v>
      </c>
      <c r="I873" s="57">
        <v>0</v>
      </c>
      <c r="J873" s="57">
        <v>0</v>
      </c>
      <c r="K873" s="57">
        <v>2500000</v>
      </c>
      <c r="L873" s="57">
        <v>0</v>
      </c>
      <c r="M873" s="57">
        <v>0</v>
      </c>
      <c r="N873" s="55">
        <v>2250000</v>
      </c>
    </row>
    <row r="874" spans="2:14" x14ac:dyDescent="0.2">
      <c r="B874" s="60"/>
      <c r="C874" s="60"/>
      <c r="D874" s="59"/>
      <c r="E874" s="59"/>
      <c r="F874" s="65" t="s">
        <v>254</v>
      </c>
      <c r="G874" s="105">
        <v>0</v>
      </c>
      <c r="H874" s="57">
        <v>0</v>
      </c>
      <c r="I874" s="57">
        <v>0</v>
      </c>
      <c r="J874" s="57">
        <v>0</v>
      </c>
      <c r="K874" s="57">
        <v>119821.52</v>
      </c>
      <c r="L874" s="57">
        <v>250000</v>
      </c>
      <c r="M874" s="57">
        <v>185000</v>
      </c>
      <c r="N874" s="55">
        <v>200000</v>
      </c>
    </row>
    <row r="875" spans="2:14" x14ac:dyDescent="0.2">
      <c r="B875" s="60"/>
      <c r="C875" s="60"/>
      <c r="D875" s="59"/>
      <c r="E875" s="59"/>
      <c r="F875" s="65" t="s">
        <v>255</v>
      </c>
      <c r="G875" s="105">
        <v>0</v>
      </c>
      <c r="H875" s="57">
        <v>0</v>
      </c>
      <c r="I875" s="57">
        <v>0</v>
      </c>
      <c r="J875" s="57">
        <v>0</v>
      </c>
      <c r="K875" s="57">
        <v>0</v>
      </c>
      <c r="L875" s="57">
        <v>100000</v>
      </c>
      <c r="M875" s="57">
        <v>80521</v>
      </c>
      <c r="N875" s="55">
        <v>300000</v>
      </c>
    </row>
    <row r="876" spans="2:14" x14ac:dyDescent="0.2">
      <c r="B876" s="60"/>
      <c r="C876" s="60"/>
      <c r="D876" s="59"/>
      <c r="E876" s="59"/>
      <c r="F876" s="65" t="s">
        <v>256</v>
      </c>
      <c r="G876" s="105">
        <v>0</v>
      </c>
      <c r="H876" s="57">
        <v>25000</v>
      </c>
      <c r="I876" s="57">
        <v>0</v>
      </c>
      <c r="J876" s="57">
        <v>0</v>
      </c>
      <c r="K876" s="57">
        <v>0</v>
      </c>
      <c r="L876" s="57">
        <v>0</v>
      </c>
      <c r="M876" s="57">
        <v>0</v>
      </c>
      <c r="N876" s="55">
        <v>0</v>
      </c>
    </row>
    <row r="877" spans="2:14" x14ac:dyDescent="0.2">
      <c r="B877" s="60"/>
      <c r="C877" s="60"/>
      <c r="D877" s="59"/>
      <c r="E877" s="59"/>
      <c r="F877" s="65" t="s">
        <v>257</v>
      </c>
      <c r="G877" s="105">
        <v>0</v>
      </c>
      <c r="H877" s="57">
        <v>0</v>
      </c>
      <c r="I877" s="57">
        <v>0</v>
      </c>
      <c r="J877" s="57">
        <v>0</v>
      </c>
      <c r="K877" s="57">
        <v>500000</v>
      </c>
      <c r="L877" s="57">
        <v>1250000</v>
      </c>
      <c r="M877" s="57">
        <v>1250000</v>
      </c>
      <c r="N877" s="55">
        <v>250000</v>
      </c>
    </row>
    <row r="878" spans="2:14" x14ac:dyDescent="0.2">
      <c r="B878" s="60"/>
      <c r="C878" s="60"/>
      <c r="D878" s="59"/>
      <c r="E878" s="59"/>
      <c r="F878" s="65" t="s">
        <v>258</v>
      </c>
      <c r="G878" s="105">
        <v>6736</v>
      </c>
      <c r="H878" s="57">
        <v>12166</v>
      </c>
      <c r="I878" s="57">
        <v>5031</v>
      </c>
      <c r="J878" s="57">
        <v>12077.5</v>
      </c>
      <c r="K878" s="57">
        <v>5325.5</v>
      </c>
      <c r="L878" s="57">
        <v>30000</v>
      </c>
      <c r="M878" s="57">
        <v>8000</v>
      </c>
      <c r="N878" s="55">
        <v>15000</v>
      </c>
    </row>
    <row r="879" spans="2:14" x14ac:dyDescent="0.2">
      <c r="B879" s="60"/>
      <c r="C879" s="60"/>
      <c r="D879" s="59"/>
      <c r="E879" s="59"/>
      <c r="F879" s="65" t="s">
        <v>259</v>
      </c>
      <c r="G879" s="105">
        <v>0</v>
      </c>
      <c r="H879" s="57">
        <v>0</v>
      </c>
      <c r="I879" s="57">
        <v>0</v>
      </c>
      <c r="J879" s="57">
        <v>0</v>
      </c>
      <c r="K879" s="57">
        <v>0</v>
      </c>
      <c r="L879" s="57">
        <v>200</v>
      </c>
      <c r="M879" s="57">
        <v>0</v>
      </c>
      <c r="N879" s="55">
        <v>0</v>
      </c>
    </row>
    <row r="880" spans="2:14" x14ac:dyDescent="0.2">
      <c r="B880" s="60"/>
      <c r="C880" s="60"/>
      <c r="D880" s="59"/>
      <c r="E880" s="59"/>
      <c r="F880" s="65" t="s">
        <v>260</v>
      </c>
      <c r="G880" s="105">
        <v>0</v>
      </c>
      <c r="H880" s="57">
        <v>0</v>
      </c>
      <c r="I880" s="57">
        <v>0</v>
      </c>
      <c r="J880" s="57">
        <v>622948.9</v>
      </c>
      <c r="K880" s="57">
        <v>53576.76</v>
      </c>
      <c r="L880" s="57">
        <v>0</v>
      </c>
      <c r="M880" s="57">
        <v>0</v>
      </c>
      <c r="N880" s="55">
        <v>0</v>
      </c>
    </row>
    <row r="881" spans="2:14" x14ac:dyDescent="0.2">
      <c r="B881" s="60"/>
      <c r="C881" s="60"/>
      <c r="D881" s="59"/>
      <c r="E881" s="59"/>
      <c r="F881" s="65" t="s">
        <v>261</v>
      </c>
      <c r="G881" s="105">
        <v>0</v>
      </c>
      <c r="H881" s="57">
        <v>0</v>
      </c>
      <c r="I881" s="57">
        <v>40938</v>
      </c>
      <c r="J881" s="57">
        <v>701119.87</v>
      </c>
      <c r="K881" s="57">
        <v>789382.92</v>
      </c>
      <c r="L881" s="57">
        <v>1546495</v>
      </c>
      <c r="M881" s="57">
        <v>1255322</v>
      </c>
      <c r="N881" s="55">
        <v>3398937</v>
      </c>
    </row>
    <row r="882" spans="2:14" x14ac:dyDescent="0.2">
      <c r="B882" s="60"/>
      <c r="C882" s="60"/>
      <c r="D882" s="59"/>
      <c r="E882" s="59"/>
      <c r="F882" s="65" t="s">
        <v>262</v>
      </c>
      <c r="G882" s="105">
        <v>0</v>
      </c>
      <c r="H882" s="57">
        <v>0</v>
      </c>
      <c r="I882" s="57">
        <v>0</v>
      </c>
      <c r="J882" s="57">
        <v>0</v>
      </c>
      <c r="K882" s="57">
        <v>0</v>
      </c>
      <c r="L882" s="57">
        <v>2261852</v>
      </c>
      <c r="M882" s="57">
        <v>2261852</v>
      </c>
      <c r="N882" s="57">
        <v>2261852</v>
      </c>
    </row>
    <row r="883" spans="2:14" x14ac:dyDescent="0.2">
      <c r="B883" s="60"/>
      <c r="C883" s="60"/>
      <c r="D883" s="59"/>
      <c r="E883" s="59"/>
      <c r="F883" s="65" t="s">
        <v>263</v>
      </c>
      <c r="G883" s="105">
        <v>7974308</v>
      </c>
      <c r="H883" s="57">
        <v>5466008</v>
      </c>
      <c r="I883" s="57">
        <v>115336</v>
      </c>
      <c r="J883" s="57">
        <v>0</v>
      </c>
      <c r="K883" s="57">
        <v>0</v>
      </c>
      <c r="L883" s="57">
        <v>1500000</v>
      </c>
      <c r="M883" s="57">
        <v>1500000</v>
      </c>
      <c r="N883" s="55">
        <v>1500000</v>
      </c>
    </row>
    <row r="884" spans="2:14" x14ac:dyDescent="0.2">
      <c r="B884" s="60"/>
      <c r="C884" s="60"/>
      <c r="D884" s="59"/>
      <c r="E884" s="59"/>
      <c r="F884" s="65" t="s">
        <v>264</v>
      </c>
      <c r="G884" s="105">
        <v>4036032</v>
      </c>
      <c r="H884" s="57">
        <v>4937398</v>
      </c>
      <c r="I884" s="57">
        <v>4560311</v>
      </c>
      <c r="J884" s="57">
        <f>1863599.74+568724.03+123880.48+259022.83+782699.41+529307.51+715128.24</f>
        <v>4842362.24</v>
      </c>
      <c r="K884" s="57">
        <v>5801577</v>
      </c>
      <c r="L884" s="57">
        <v>6502212</v>
      </c>
      <c r="M884" s="57">
        <v>6703227</v>
      </c>
      <c r="N884" s="55">
        <v>7283978</v>
      </c>
    </row>
    <row r="885" spans="2:14" x14ac:dyDescent="0.2">
      <c r="B885" s="60"/>
      <c r="C885" s="60"/>
      <c r="D885" s="59"/>
      <c r="E885" s="59"/>
      <c r="F885" s="65" t="s">
        <v>265</v>
      </c>
      <c r="G885" s="105">
        <v>7539168</v>
      </c>
      <c r="H885" s="57">
        <v>8590594</v>
      </c>
      <c r="I885" s="57">
        <v>9168513</v>
      </c>
      <c r="J885" s="57">
        <v>9584953</v>
      </c>
      <c r="K885" s="57">
        <v>10422992</v>
      </c>
      <c r="L885" s="57">
        <v>11655185</v>
      </c>
      <c r="M885" s="57">
        <v>11158615</v>
      </c>
      <c r="N885" s="55">
        <v>12117072</v>
      </c>
    </row>
    <row r="886" spans="2:14" x14ac:dyDescent="0.2">
      <c r="B886" s="60"/>
      <c r="C886" s="60"/>
      <c r="D886" s="59"/>
      <c r="E886" s="59"/>
      <c r="F886" s="65" t="s">
        <v>266</v>
      </c>
      <c r="G886" s="105">
        <v>4231302</v>
      </c>
      <c r="H886" s="57">
        <v>3446509</v>
      </c>
      <c r="I886" s="57">
        <v>556432</v>
      </c>
      <c r="J886" s="57">
        <v>3448316</v>
      </c>
      <c r="K886" s="57">
        <v>4677679</v>
      </c>
      <c r="L886" s="57">
        <v>3250000</v>
      </c>
      <c r="M886" s="57">
        <v>4250000</v>
      </c>
      <c r="N886" s="55">
        <v>3250000</v>
      </c>
    </row>
    <row r="887" spans="2:14" x14ac:dyDescent="0.2">
      <c r="B887" s="60"/>
      <c r="C887" s="60"/>
      <c r="D887" s="59"/>
      <c r="E887" s="59"/>
      <c r="F887" s="65" t="s">
        <v>267</v>
      </c>
      <c r="G887" s="105">
        <v>18210849</v>
      </c>
      <c r="H887" s="57">
        <v>20239623</v>
      </c>
      <c r="I887" s="57">
        <v>21827408</v>
      </c>
      <c r="J887" s="57">
        <f>13400962.72+10919345.86</f>
        <v>24320308.579999998</v>
      </c>
      <c r="K887" s="57">
        <v>27626602.77</v>
      </c>
      <c r="L887" s="57">
        <v>31896734</v>
      </c>
      <c r="M887" s="57">
        <v>30136625</v>
      </c>
      <c r="N887" s="55">
        <v>32586504</v>
      </c>
    </row>
    <row r="888" spans="2:14" x14ac:dyDescent="0.2">
      <c r="B888" s="60"/>
      <c r="C888" s="60"/>
      <c r="D888" s="59"/>
      <c r="E888" s="59"/>
      <c r="F888" s="65" t="s">
        <v>268</v>
      </c>
      <c r="G888" s="105">
        <v>0</v>
      </c>
      <c r="H888" s="57">
        <v>0</v>
      </c>
      <c r="I888" s="57">
        <v>0</v>
      </c>
      <c r="J888" s="57">
        <v>0</v>
      </c>
      <c r="K888" s="57">
        <v>0</v>
      </c>
      <c r="L888" s="57">
        <v>41200</v>
      </c>
      <c r="M888" s="57">
        <v>0</v>
      </c>
      <c r="N888" s="55">
        <v>20000</v>
      </c>
    </row>
    <row r="889" spans="2:14" x14ac:dyDescent="0.2">
      <c r="B889" s="60"/>
      <c r="C889" s="60"/>
      <c r="D889" s="59"/>
      <c r="E889" s="59"/>
      <c r="F889" s="65" t="s">
        <v>269</v>
      </c>
      <c r="G889" s="105">
        <v>376298</v>
      </c>
      <c r="H889" s="57">
        <v>0</v>
      </c>
      <c r="I889" s="57">
        <v>0</v>
      </c>
      <c r="J889" s="57">
        <v>0</v>
      </c>
      <c r="K889" s="57">
        <v>0</v>
      </c>
      <c r="L889" s="57">
        <v>51500</v>
      </c>
      <c r="M889" s="57">
        <v>283786</v>
      </c>
      <c r="N889" s="55">
        <v>390000</v>
      </c>
    </row>
    <row r="890" spans="2:14" x14ac:dyDescent="0.2">
      <c r="B890" s="60"/>
      <c r="C890" s="60"/>
      <c r="D890" s="59"/>
      <c r="E890" s="59"/>
      <c r="F890" s="65" t="s">
        <v>270</v>
      </c>
      <c r="G890" s="105">
        <v>36119925</v>
      </c>
      <c r="H890" s="57">
        <v>35420092</v>
      </c>
      <c r="I890" s="57">
        <v>38652996</v>
      </c>
      <c r="J890" s="57">
        <v>42005221</v>
      </c>
      <c r="K890" s="57">
        <v>47277192</v>
      </c>
      <c r="L890" s="57">
        <v>46616490</v>
      </c>
      <c r="M890" s="57">
        <v>46898957</v>
      </c>
      <c r="N890" s="55">
        <v>51313289</v>
      </c>
    </row>
    <row r="891" spans="2:14" x14ac:dyDescent="0.2">
      <c r="B891" s="60"/>
      <c r="C891" s="60"/>
      <c r="D891" s="59"/>
      <c r="E891" s="59"/>
      <c r="F891" s="65" t="s">
        <v>271</v>
      </c>
      <c r="G891" s="105">
        <v>316897</v>
      </c>
      <c r="H891" s="57">
        <v>270787</v>
      </c>
      <c r="I891" s="57">
        <v>248709</v>
      </c>
      <c r="J891" s="57">
        <v>182936.44</v>
      </c>
      <c r="K891" s="57">
        <v>158247.79999999999</v>
      </c>
      <c r="L891" s="57">
        <v>360500</v>
      </c>
      <c r="M891" s="57">
        <v>0</v>
      </c>
      <c r="N891" s="55">
        <v>360500</v>
      </c>
    </row>
    <row r="892" spans="2:14" x14ac:dyDescent="0.2">
      <c r="B892" s="60"/>
      <c r="C892" s="60"/>
      <c r="D892" s="59"/>
      <c r="E892" s="59"/>
      <c r="F892" s="65" t="s">
        <v>272</v>
      </c>
      <c r="G892" s="105">
        <v>1785913</v>
      </c>
      <c r="H892" s="57">
        <v>4548907</v>
      </c>
      <c r="I892" s="57">
        <v>16945707</v>
      </c>
      <c r="J892" s="57">
        <f>86250+407562.17+250+30646.1+96360</f>
        <v>621068.27</v>
      </c>
      <c r="K892" s="57">
        <v>1000274.97</v>
      </c>
      <c r="L892" s="57">
        <v>1600000</v>
      </c>
      <c r="M892" s="57">
        <v>750000</v>
      </c>
      <c r="N892" s="57">
        <v>750000</v>
      </c>
    </row>
    <row r="893" spans="2:14" x14ac:dyDescent="0.2">
      <c r="B893" s="60"/>
      <c r="C893" s="60"/>
      <c r="D893" s="59"/>
      <c r="E893" s="59"/>
      <c r="F893" s="65" t="s">
        <v>273</v>
      </c>
      <c r="G893" s="105">
        <v>440945</v>
      </c>
      <c r="H893" s="57">
        <v>57044</v>
      </c>
      <c r="I893" s="57">
        <v>0</v>
      </c>
      <c r="J893" s="57">
        <v>0</v>
      </c>
      <c r="K893" s="57">
        <v>0</v>
      </c>
      <c r="L893" s="57">
        <v>0</v>
      </c>
      <c r="M893" s="57">
        <v>0</v>
      </c>
      <c r="N893" s="55">
        <v>0</v>
      </c>
    </row>
    <row r="894" spans="2:14" x14ac:dyDescent="0.2">
      <c r="B894" s="60"/>
      <c r="C894" s="60"/>
      <c r="D894" s="59"/>
      <c r="E894" s="59"/>
      <c r="F894" s="65" t="s">
        <v>274</v>
      </c>
      <c r="G894" s="105">
        <v>50000</v>
      </c>
      <c r="H894" s="57">
        <v>40000</v>
      </c>
      <c r="I894" s="57">
        <v>32842</v>
      </c>
      <c r="J894" s="57">
        <v>42077.5</v>
      </c>
      <c r="K894" s="57">
        <v>27934</v>
      </c>
      <c r="L894" s="57">
        <v>40000</v>
      </c>
      <c r="M894" s="57">
        <v>40000</v>
      </c>
      <c r="N894" s="57">
        <v>40000</v>
      </c>
    </row>
    <row r="895" spans="2:14" x14ac:dyDescent="0.2">
      <c r="B895" s="60"/>
      <c r="C895" s="60"/>
      <c r="D895" s="59"/>
      <c r="E895" s="59"/>
      <c r="F895" s="65" t="s">
        <v>275</v>
      </c>
      <c r="G895" s="105">
        <v>1097669</v>
      </c>
      <c r="H895" s="57">
        <v>1224830</v>
      </c>
      <c r="I895" s="57">
        <v>981238</v>
      </c>
      <c r="J895" s="57">
        <v>849435</v>
      </c>
      <c r="K895" s="57">
        <v>1053008</v>
      </c>
      <c r="L895" s="57">
        <v>1320000</v>
      </c>
      <c r="M895" s="57">
        <v>1160000</v>
      </c>
      <c r="N895" s="55">
        <v>1320000</v>
      </c>
    </row>
    <row r="896" spans="2:14" x14ac:dyDescent="0.2">
      <c r="B896" s="60"/>
      <c r="C896" s="60"/>
      <c r="D896" s="59"/>
      <c r="E896" s="59"/>
      <c r="F896" s="65" t="s">
        <v>276</v>
      </c>
      <c r="G896" s="105">
        <v>0</v>
      </c>
      <c r="H896" s="57">
        <v>51637</v>
      </c>
      <c r="I896" s="57">
        <v>6671</v>
      </c>
      <c r="J896" s="57">
        <v>3127.91</v>
      </c>
      <c r="K896" s="57">
        <v>0</v>
      </c>
      <c r="L896" s="57">
        <v>0</v>
      </c>
      <c r="M896" s="57">
        <v>0</v>
      </c>
      <c r="N896" s="55">
        <v>0</v>
      </c>
    </row>
    <row r="897" spans="2:14" x14ac:dyDescent="0.2">
      <c r="B897" s="60"/>
      <c r="C897" s="60"/>
      <c r="D897" s="59"/>
      <c r="E897" s="59"/>
      <c r="F897" s="65" t="s">
        <v>277</v>
      </c>
      <c r="G897" s="105">
        <v>155638</v>
      </c>
      <c r="H897" s="57">
        <v>165296</v>
      </c>
      <c r="I897" s="57">
        <v>136459</v>
      </c>
      <c r="J897" s="57">
        <v>107938.63</v>
      </c>
      <c r="K897" s="57">
        <v>163747.74</v>
      </c>
      <c r="L897" s="57">
        <v>210000</v>
      </c>
      <c r="M897" s="57">
        <v>155000</v>
      </c>
      <c r="N897" s="55">
        <v>190000</v>
      </c>
    </row>
    <row r="898" spans="2:14" x14ac:dyDescent="0.2">
      <c r="B898" s="60"/>
      <c r="C898" s="60"/>
      <c r="D898" s="59"/>
      <c r="E898" s="59"/>
      <c r="F898" s="65" t="s">
        <v>278</v>
      </c>
      <c r="G898" s="105">
        <v>0</v>
      </c>
      <c r="H898" s="57">
        <v>0</v>
      </c>
      <c r="I898" s="57">
        <v>0</v>
      </c>
      <c r="J898" s="57">
        <v>0</v>
      </c>
      <c r="K898" s="57">
        <v>0</v>
      </c>
      <c r="L898" s="57">
        <v>0</v>
      </c>
      <c r="M898" s="57">
        <v>0</v>
      </c>
      <c r="N898" s="55">
        <v>0</v>
      </c>
    </row>
    <row r="899" spans="2:14" x14ac:dyDescent="0.2">
      <c r="B899" s="60"/>
      <c r="C899" s="60"/>
      <c r="D899" s="59"/>
      <c r="E899" s="59"/>
      <c r="F899" s="65" t="s">
        <v>279</v>
      </c>
      <c r="G899" s="105">
        <v>0</v>
      </c>
      <c r="H899" s="57">
        <v>0</v>
      </c>
      <c r="I899" s="57">
        <v>0</v>
      </c>
      <c r="J899" s="57">
        <v>500000</v>
      </c>
      <c r="K899" s="57">
        <v>0</v>
      </c>
      <c r="L899" s="57">
        <v>0</v>
      </c>
      <c r="M899" s="57">
        <v>0</v>
      </c>
      <c r="N899" s="55">
        <v>0</v>
      </c>
    </row>
    <row r="900" spans="2:14" x14ac:dyDescent="0.2">
      <c r="B900" s="277" t="s">
        <v>280</v>
      </c>
      <c r="C900" s="277"/>
      <c r="D900" s="277"/>
      <c r="E900" s="277"/>
      <c r="F900" s="277"/>
      <c r="G900" s="56">
        <f t="shared" ref="G900:N900" si="351">G901+G904</f>
        <v>17542436</v>
      </c>
      <c r="H900" s="56">
        <f t="shared" si="351"/>
        <v>23754659</v>
      </c>
      <c r="I900" s="56">
        <f t="shared" si="351"/>
        <v>31551546</v>
      </c>
      <c r="J900" s="56">
        <f t="shared" si="351"/>
        <v>34269924</v>
      </c>
      <c r="K900" s="56">
        <f t="shared" si="351"/>
        <v>31426954</v>
      </c>
      <c r="L900" s="56">
        <f t="shared" si="351"/>
        <v>26972434</v>
      </c>
      <c r="M900" s="148">
        <f t="shared" si="351"/>
        <v>27137771</v>
      </c>
      <c r="N900" s="56">
        <f t="shared" si="351"/>
        <v>28948345</v>
      </c>
    </row>
    <row r="901" spans="2:14" x14ac:dyDescent="0.2">
      <c r="B901" s="60"/>
      <c r="C901" s="270" t="s">
        <v>281</v>
      </c>
      <c r="D901" s="270"/>
      <c r="E901" s="270"/>
      <c r="F901" s="270"/>
      <c r="G901" s="64">
        <f t="shared" ref="G901:L901" si="352">SUM(G902:G903)</f>
        <v>0</v>
      </c>
      <c r="H901" s="64">
        <f t="shared" si="352"/>
        <v>5027579</v>
      </c>
      <c r="I901" s="64">
        <f t="shared" si="352"/>
        <v>12209300</v>
      </c>
      <c r="J901" s="64">
        <f t="shared" si="352"/>
        <v>9852037</v>
      </c>
      <c r="K901" s="64">
        <f t="shared" si="352"/>
        <v>7457658</v>
      </c>
      <c r="L901" s="64">
        <f t="shared" si="352"/>
        <v>2121500</v>
      </c>
      <c r="M901" s="64">
        <v>2121500</v>
      </c>
      <c r="N901" s="64">
        <v>2453000</v>
      </c>
    </row>
    <row r="902" spans="2:14" x14ac:dyDescent="0.2">
      <c r="B902" s="60"/>
      <c r="C902" s="59"/>
      <c r="D902" s="59"/>
      <c r="E902" s="59"/>
      <c r="F902" s="139" t="s">
        <v>282</v>
      </c>
      <c r="G902" s="105">
        <v>0</v>
      </c>
      <c r="H902" s="63">
        <v>5027579</v>
      </c>
      <c r="I902" s="63">
        <v>12209300</v>
      </c>
      <c r="J902" s="63">
        <v>9217100</v>
      </c>
      <c r="K902" s="63">
        <v>7442750</v>
      </c>
      <c r="L902" s="63">
        <v>2121500</v>
      </c>
      <c r="M902" s="57">
        <v>2121500</v>
      </c>
      <c r="N902" s="57">
        <v>2453000</v>
      </c>
    </row>
    <row r="903" spans="2:14" x14ac:dyDescent="0.2">
      <c r="B903" s="60"/>
      <c r="C903" s="59"/>
      <c r="D903" s="59"/>
      <c r="E903" s="59"/>
      <c r="F903" s="139" t="s">
        <v>283</v>
      </c>
      <c r="G903" s="105">
        <v>0</v>
      </c>
      <c r="H903" s="62">
        <v>0</v>
      </c>
      <c r="I903" s="57">
        <v>0</v>
      </c>
      <c r="J903" s="57">
        <v>634937</v>
      </c>
      <c r="K903" s="57">
        <v>14908</v>
      </c>
      <c r="L903" s="57">
        <v>0</v>
      </c>
      <c r="M903" s="57">
        <v>0</v>
      </c>
      <c r="N903" s="57">
        <v>0</v>
      </c>
    </row>
    <row r="904" spans="2:14" x14ac:dyDescent="0.2">
      <c r="B904" s="60"/>
      <c r="C904" s="270" t="s">
        <v>284</v>
      </c>
      <c r="D904" s="270"/>
      <c r="E904" s="270"/>
      <c r="F904" s="270"/>
      <c r="G904" s="61">
        <f t="shared" ref="G904:N904" si="353">G905</f>
        <v>17542436</v>
      </c>
      <c r="H904" s="61">
        <f t="shared" si="353"/>
        <v>18727080</v>
      </c>
      <c r="I904" s="61">
        <f t="shared" si="353"/>
        <v>19342246</v>
      </c>
      <c r="J904" s="61">
        <f t="shared" si="353"/>
        <v>24417887</v>
      </c>
      <c r="K904" s="61">
        <f t="shared" si="353"/>
        <v>23969296</v>
      </c>
      <c r="L904" s="61">
        <f t="shared" si="353"/>
        <v>24850934</v>
      </c>
      <c r="M904" s="61">
        <f t="shared" si="353"/>
        <v>25016271</v>
      </c>
      <c r="N904" s="61">
        <f t="shared" si="353"/>
        <v>26495345</v>
      </c>
    </row>
    <row r="905" spans="2:14" x14ac:dyDescent="0.2">
      <c r="B905" s="60"/>
      <c r="C905" s="59"/>
      <c r="D905" s="59"/>
      <c r="E905" s="59"/>
      <c r="F905" s="139" t="s">
        <v>285</v>
      </c>
      <c r="G905" s="63">
        <v>17542436</v>
      </c>
      <c r="H905" s="63">
        <v>18727080</v>
      </c>
      <c r="I905" s="63">
        <v>19342246</v>
      </c>
      <c r="J905" s="63">
        <v>24417887</v>
      </c>
      <c r="K905" s="63">
        <v>23969296</v>
      </c>
      <c r="L905" s="63">
        <v>24850934</v>
      </c>
      <c r="M905" s="57">
        <v>25016271</v>
      </c>
      <c r="N905" s="57">
        <v>26495345</v>
      </c>
    </row>
    <row r="906" spans="2:14" x14ac:dyDescent="0.2">
      <c r="B906" s="279" t="s">
        <v>286</v>
      </c>
      <c r="C906" s="279"/>
      <c r="D906" s="279"/>
      <c r="E906" s="279"/>
      <c r="F906" s="279"/>
      <c r="G906" s="111">
        <v>0</v>
      </c>
      <c r="H906" s="111">
        <v>0</v>
      </c>
      <c r="I906" s="112">
        <v>404467</v>
      </c>
      <c r="J906" s="112">
        <v>4711245</v>
      </c>
      <c r="K906" s="112">
        <v>0</v>
      </c>
      <c r="L906" s="112">
        <v>583864</v>
      </c>
      <c r="M906" s="55">
        <v>583864</v>
      </c>
      <c r="N906" s="55">
        <v>613005</v>
      </c>
    </row>
  </sheetData>
  <mergeCells count="334">
    <mergeCell ref="E416:F416"/>
    <mergeCell ref="D613:F613"/>
    <mergeCell ref="D125:F125"/>
    <mergeCell ref="E440:F440"/>
    <mergeCell ref="D399:F399"/>
    <mergeCell ref="E400:F400"/>
    <mergeCell ref="E402:F402"/>
    <mergeCell ref="C387:F387"/>
    <mergeCell ref="D388:F388"/>
    <mergeCell ref="E389:F389"/>
    <mergeCell ref="D439:F439"/>
    <mergeCell ref="E392:F392"/>
    <mergeCell ref="E433:F433"/>
    <mergeCell ref="C438:F438"/>
    <mergeCell ref="E412:F412"/>
    <mergeCell ref="C404:F404"/>
    <mergeCell ref="D405:F405"/>
    <mergeCell ref="E406:F406"/>
    <mergeCell ref="E408:F408"/>
    <mergeCell ref="C410:F410"/>
    <mergeCell ref="D300:F300"/>
    <mergeCell ref="E301:F301"/>
    <mergeCell ref="E289:F289"/>
    <mergeCell ref="E379:F379"/>
    <mergeCell ref="E341:F341"/>
    <mergeCell ref="E490:F490"/>
    <mergeCell ref="C901:F901"/>
    <mergeCell ref="C904:F904"/>
    <mergeCell ref="B906:F906"/>
    <mergeCell ref="E838:F838"/>
    <mergeCell ref="D743:F743"/>
    <mergeCell ref="E744:F744"/>
    <mergeCell ref="E753:F753"/>
    <mergeCell ref="B156:F156"/>
    <mergeCell ref="E220:F220"/>
    <mergeCell ref="C157:F157"/>
    <mergeCell ref="E159:F159"/>
    <mergeCell ref="E162:F162"/>
    <mergeCell ref="E164:F164"/>
    <mergeCell ref="D283:F283"/>
    <mergeCell ref="E284:F284"/>
    <mergeCell ref="E243:F243"/>
    <mergeCell ref="D226:F226"/>
    <mergeCell ref="E215:F215"/>
    <mergeCell ref="E218:F218"/>
    <mergeCell ref="E227:F227"/>
    <mergeCell ref="E231:F231"/>
    <mergeCell ref="D239:F239"/>
    <mergeCell ref="E240:F240"/>
    <mergeCell ref="E677:F677"/>
    <mergeCell ref="E418:F418"/>
    <mergeCell ref="D426:F426"/>
    <mergeCell ref="E427:F427"/>
    <mergeCell ref="E431:F431"/>
    <mergeCell ref="E586:F586"/>
    <mergeCell ref="D411:F411"/>
    <mergeCell ref="C483:F483"/>
    <mergeCell ref="B900:F900"/>
    <mergeCell ref="E538:F538"/>
    <mergeCell ref="E549:F549"/>
    <mergeCell ref="E551:F551"/>
    <mergeCell ref="D518:F518"/>
    <mergeCell ref="E519:F519"/>
    <mergeCell ref="E529:F529"/>
    <mergeCell ref="E531:F531"/>
    <mergeCell ref="D558:F558"/>
    <mergeCell ref="E559:F559"/>
    <mergeCell ref="E569:F569"/>
    <mergeCell ref="D575:F575"/>
    <mergeCell ref="E576:F576"/>
    <mergeCell ref="D484:F484"/>
    <mergeCell ref="E485:F485"/>
    <mergeCell ref="E509:F509"/>
    <mergeCell ref="C712:F712"/>
    <mergeCell ref="E758:F758"/>
    <mergeCell ref="E769:F769"/>
    <mergeCell ref="E610:F610"/>
    <mergeCell ref="D537:F537"/>
    <mergeCell ref="D479:F479"/>
    <mergeCell ref="E444:F444"/>
    <mergeCell ref="C499:F499"/>
    <mergeCell ref="D500:F500"/>
    <mergeCell ref="E501:F501"/>
    <mergeCell ref="E507:F507"/>
    <mergeCell ref="D458:F458"/>
    <mergeCell ref="E459:F459"/>
    <mergeCell ref="E468:F468"/>
    <mergeCell ref="E471:F471"/>
    <mergeCell ref="E480:F480"/>
    <mergeCell ref="D451:F451"/>
    <mergeCell ref="E452:F452"/>
    <mergeCell ref="E454:F454"/>
    <mergeCell ref="D641:F641"/>
    <mergeCell ref="E642:F642"/>
    <mergeCell ref="E728:F728"/>
    <mergeCell ref="D664:F664"/>
    <mergeCell ref="E665:F665"/>
    <mergeCell ref="E823:F823"/>
    <mergeCell ref="C771:F771"/>
    <mergeCell ref="D772:F772"/>
    <mergeCell ref="E773:F773"/>
    <mergeCell ref="E778:F778"/>
    <mergeCell ref="E780:F780"/>
    <mergeCell ref="D787:F787"/>
    <mergeCell ref="E799:F799"/>
    <mergeCell ref="D812:F812"/>
    <mergeCell ref="E813:F813"/>
    <mergeCell ref="D295:F295"/>
    <mergeCell ref="E308:F308"/>
    <mergeCell ref="C315:F315"/>
    <mergeCell ref="E324:F324"/>
    <mergeCell ref="D330:F330"/>
    <mergeCell ref="E331:F331"/>
    <mergeCell ref="E335:F335"/>
    <mergeCell ref="D372:F372"/>
    <mergeCell ref="E373:F373"/>
    <mergeCell ref="D340:F340"/>
    <mergeCell ref="E322:F322"/>
    <mergeCell ref="E306:F306"/>
    <mergeCell ref="E363:F363"/>
    <mergeCell ref="D351:F351"/>
    <mergeCell ref="E352:F352"/>
    <mergeCell ref="E356:F356"/>
    <mergeCell ref="C361:F361"/>
    <mergeCell ref="D362:F362"/>
    <mergeCell ref="E366:F366"/>
    <mergeCell ref="C371:F371"/>
    <mergeCell ref="E344:F344"/>
    <mergeCell ref="B841:F841"/>
    <mergeCell ref="E834:F834"/>
    <mergeCell ref="E731:F731"/>
    <mergeCell ref="D713:F713"/>
    <mergeCell ref="E714:F714"/>
    <mergeCell ref="E652:F652"/>
    <mergeCell ref="C663:F663"/>
    <mergeCell ref="E602:F602"/>
    <mergeCell ref="E589:F589"/>
    <mergeCell ref="D601:F601"/>
    <mergeCell ref="E693:F693"/>
    <mergeCell ref="E614:F614"/>
    <mergeCell ref="E623:F623"/>
    <mergeCell ref="D628:F628"/>
    <mergeCell ref="E629:F629"/>
    <mergeCell ref="E638:F638"/>
    <mergeCell ref="E801:F801"/>
    <mergeCell ref="E680:F680"/>
    <mergeCell ref="D692:F692"/>
    <mergeCell ref="D757:F757"/>
    <mergeCell ref="E826:F826"/>
    <mergeCell ref="D833:F833"/>
    <mergeCell ref="E788:F788"/>
    <mergeCell ref="E705:F705"/>
    <mergeCell ref="E346:F346"/>
    <mergeCell ref="D316:F316"/>
    <mergeCell ref="E317:F317"/>
    <mergeCell ref="E171:F171"/>
    <mergeCell ref="E174:F174"/>
    <mergeCell ref="E176:F176"/>
    <mergeCell ref="C181:F181"/>
    <mergeCell ref="E274:F274"/>
    <mergeCell ref="E277:F277"/>
    <mergeCell ref="D256:F256"/>
    <mergeCell ref="E257:F257"/>
    <mergeCell ref="E259:F259"/>
    <mergeCell ref="E261:F261"/>
    <mergeCell ref="D267:F267"/>
    <mergeCell ref="E190:F190"/>
    <mergeCell ref="D198:F198"/>
    <mergeCell ref="E199:F199"/>
    <mergeCell ref="E202:F202"/>
    <mergeCell ref="E206:F206"/>
    <mergeCell ref="D182:F182"/>
    <mergeCell ref="E183:F183"/>
    <mergeCell ref="D249:F249"/>
    <mergeCell ref="E250:F250"/>
    <mergeCell ref="E253:F253"/>
    <mergeCell ref="E268:F268"/>
    <mergeCell ref="E381:F381"/>
    <mergeCell ref="E296:F296"/>
    <mergeCell ref="E298:F298"/>
    <mergeCell ref="D4:F4"/>
    <mergeCell ref="A2:F2"/>
    <mergeCell ref="B3:F3"/>
    <mergeCell ref="D6:F6"/>
    <mergeCell ref="D7:F7"/>
    <mergeCell ref="D8:F8"/>
    <mergeCell ref="D9:F9"/>
    <mergeCell ref="D10:F10"/>
    <mergeCell ref="D11:F11"/>
    <mergeCell ref="D33:F33"/>
    <mergeCell ref="D34:F34"/>
    <mergeCell ref="D35:F35"/>
    <mergeCell ref="D36:F36"/>
    <mergeCell ref="D37:F37"/>
    <mergeCell ref="D20:F20"/>
    <mergeCell ref="D21:F21"/>
    <mergeCell ref="D23:F23"/>
    <mergeCell ref="B5:F5"/>
    <mergeCell ref="B19:F19"/>
    <mergeCell ref="B29:F29"/>
    <mergeCell ref="C30:F30"/>
    <mergeCell ref="D26:F26"/>
    <mergeCell ref="D27:F27"/>
    <mergeCell ref="D28:F28"/>
    <mergeCell ref="D12:F12"/>
    <mergeCell ref="D22:F22"/>
    <mergeCell ref="A155:F155"/>
    <mergeCell ref="C121:F121"/>
    <mergeCell ref="D13:F13"/>
    <mergeCell ref="D14:F14"/>
    <mergeCell ref="D15:F15"/>
    <mergeCell ref="D16:F16"/>
    <mergeCell ref="D17:F17"/>
    <mergeCell ref="D18:F18"/>
    <mergeCell ref="D31:F31"/>
    <mergeCell ref="D32:F32"/>
    <mergeCell ref="D24:F24"/>
    <mergeCell ref="D25:F25"/>
    <mergeCell ref="D47:F47"/>
    <mergeCell ref="D48:F48"/>
    <mergeCell ref="D49:F49"/>
    <mergeCell ref="D50:F50"/>
    <mergeCell ref="D51:F51"/>
    <mergeCell ref="D38:F38"/>
    <mergeCell ref="D39:F39"/>
    <mergeCell ref="D40:F40"/>
    <mergeCell ref="D41:F41"/>
    <mergeCell ref="D43:F43"/>
    <mergeCell ref="D57:F57"/>
    <mergeCell ref="D58:F58"/>
    <mergeCell ref="D59:F59"/>
    <mergeCell ref="D60:F60"/>
    <mergeCell ref="D42:F42"/>
    <mergeCell ref="D44:F44"/>
    <mergeCell ref="D45:F45"/>
    <mergeCell ref="D46:F46"/>
    <mergeCell ref="D63:F63"/>
    <mergeCell ref="D64:F64"/>
    <mergeCell ref="D65:F65"/>
    <mergeCell ref="D66:F66"/>
    <mergeCell ref="D67:F67"/>
    <mergeCell ref="D73:F73"/>
    <mergeCell ref="D61:F61"/>
    <mergeCell ref="C52:F52"/>
    <mergeCell ref="D53:F53"/>
    <mergeCell ref="C54:F54"/>
    <mergeCell ref="D55:F55"/>
    <mergeCell ref="D56:F56"/>
    <mergeCell ref="D68:F68"/>
    <mergeCell ref="D62:F62"/>
    <mergeCell ref="D69:F69"/>
    <mergeCell ref="C94:F94"/>
    <mergeCell ref="C91:F91"/>
    <mergeCell ref="C82:F82"/>
    <mergeCell ref="D83:F83"/>
    <mergeCell ref="D84:F84"/>
    <mergeCell ref="D85:F85"/>
    <mergeCell ref="C70:F70"/>
    <mergeCell ref="D71:F71"/>
    <mergeCell ref="D72:F72"/>
    <mergeCell ref="D86:F86"/>
    <mergeCell ref="D87:F87"/>
    <mergeCell ref="D89:F89"/>
    <mergeCell ref="D90:F90"/>
    <mergeCell ref="D92:F92"/>
    <mergeCell ref="D93:F93"/>
    <mergeCell ref="D88:F88"/>
    <mergeCell ref="D74:F74"/>
    <mergeCell ref="D75:F75"/>
    <mergeCell ref="D76:F76"/>
    <mergeCell ref="C77:F77"/>
    <mergeCell ref="D78:F78"/>
    <mergeCell ref="D79:F79"/>
    <mergeCell ref="D80:F80"/>
    <mergeCell ref="D81:F81"/>
    <mergeCell ref="D120:F120"/>
    <mergeCell ref="D113:F113"/>
    <mergeCell ref="D114:F114"/>
    <mergeCell ref="D115:F115"/>
    <mergeCell ref="D105:F105"/>
    <mergeCell ref="D106:F106"/>
    <mergeCell ref="D107:F107"/>
    <mergeCell ref="D108:F108"/>
    <mergeCell ref="D109:F109"/>
    <mergeCell ref="D111:F111"/>
    <mergeCell ref="D97:F97"/>
    <mergeCell ref="D98:F98"/>
    <mergeCell ref="D99:F99"/>
    <mergeCell ref="D110:F110"/>
    <mergeCell ref="D112:F112"/>
    <mergeCell ref="D116:F116"/>
    <mergeCell ref="D117:F117"/>
    <mergeCell ref="C118:F118"/>
    <mergeCell ref="D119:F119"/>
    <mergeCell ref="D100:F100"/>
    <mergeCell ref="D101:F101"/>
    <mergeCell ref="D102:F102"/>
    <mergeCell ref="D149:F149"/>
    <mergeCell ref="D150:F150"/>
    <mergeCell ref="D151:F151"/>
    <mergeCell ref="D153:F153"/>
    <mergeCell ref="D154:F154"/>
    <mergeCell ref="D139:F139"/>
    <mergeCell ref="C140:F140"/>
    <mergeCell ref="C152:F152"/>
    <mergeCell ref="D141:F141"/>
    <mergeCell ref="D142:F142"/>
    <mergeCell ref="D143:F143"/>
    <mergeCell ref="D144:F144"/>
    <mergeCell ref="D145:F145"/>
    <mergeCell ref="D134:F134"/>
    <mergeCell ref="D135:F135"/>
    <mergeCell ref="D136:F136"/>
    <mergeCell ref="D137:F137"/>
    <mergeCell ref="C138:F138"/>
    <mergeCell ref="A1:F1"/>
    <mergeCell ref="D146:F146"/>
    <mergeCell ref="D147:F147"/>
    <mergeCell ref="D148:F148"/>
    <mergeCell ref="D128:F128"/>
    <mergeCell ref="D129:F129"/>
    <mergeCell ref="C130:F130"/>
    <mergeCell ref="D132:F132"/>
    <mergeCell ref="D133:F133"/>
    <mergeCell ref="D131:F131"/>
    <mergeCell ref="D123:F123"/>
    <mergeCell ref="D124:F124"/>
    <mergeCell ref="D126:F126"/>
    <mergeCell ref="C127:F127"/>
    <mergeCell ref="D122:F122"/>
    <mergeCell ref="D103:F103"/>
    <mergeCell ref="D104:F104"/>
    <mergeCell ref="D95:F95"/>
    <mergeCell ref="D96:F96"/>
  </mergeCells>
  <conditionalFormatting sqref="G623:G624">
    <cfRule type="cellIs" dxfId="38" priority="13" operator="lessThan">
      <formula>0</formula>
    </cfRule>
  </conditionalFormatting>
  <conditionalFormatting sqref="G1:N1 G3:N3 G5:N5 G19:N19 M20:M21 N20:N28 G29:N30 G52:N52 G54:N54 G70:N70 G77:N77 G82:N82 G91:N91 N92:N117 G94:N94 G118:N118 G121:N121 N122:N126 M126 G127:N127 G130:N130 G131:H131 G138:N138 N139 G140:N140 G152:N152 G162:N162 G164:N164 G169:N171 G174:N174 G176:N176 G181:N183 M184:N185 N186 M187:N187 G198:N198 G201:N202 G206:N206 G214:N215 N217 G218:N218 G220:N220 G226:N227 G231:N231 G240:N240 G243:N243 G249:N250 G257:N257 G261:N261 G268:N268 G274:N274 G277:N277 G284 H284:N294 G289:N289 G296 H296:N297 G298:N298 H299:N299 G301:N301 H302:N315 G306:N306 G308:N308 G315:N315 G317:N317 H318:N321 H323:N329 G324:N324 G331:N331 G341:N341 H342:N343 G344:N344 H345:N350 G346 G356:N356 G361:N361 G363:N363 G366:N366 G371:N371 G373:N373 M374:N375 N376:N377 M378:N378 G379:N379 M382:N384 N385 M386:N386 G387:N387 G389:N389 M390:N390 K390:L391 N391 G392 H392:N398 G400:N400 G402:N402 G404:N404 G406:N406 G408:N408 G410:N410 G412:N412 G416:N416 G418:N418 G427 H427:N437 G431:N431 G433:N433 G438:N438 G440:N440 H441:N450 G444:N444 G452:N452 H453:N453 G454:N454 K455:L457 N455:N457 G458:N458 G459:J459 K459:N467 G468:N468 G471:N471 G479:N480 G483:G485 H484:L484 M484:N489 H485:N485 G490:N490 K491:N499 H499:K499 G499:G501 G507:N507 G509:N509 M510:N514 K510:L517 N515:N517 G518:N519 H520:N528 G529:N529 H530:N531 G531:G532 K532:N537 G537:N538 L539 M539:N548 H540:L548 G549:N549 H550:N550 G551:N551 M552:N555 K552:L557 N556 M557:N557 G558:N559 H560:N568 G569:N569 H570:N574 G575:N576 K577:N585 G586:N586 M587 K587:L588 N587:N588 G589:N589 H590:N609 G601:G602 G610:N610 K611:N613 G613:J614 G628:N629 M630:N637 K630:L638 G638:N638 H639:N642 G641:G642 H643:M651 N643:N662 G652:N652 H653:M662 G663:G665 H663:N704 G677 G680 G692:G693 G705:N705 H706:M711 N706:N712 G712:M712 G713:N714 H715:M722 N715:N727 H724:M727 G728:N728 H729:M730 N729:N742 G731:N731 H732:M742 G743:G744 H743:N756 G753 G757:N758 G769 H769:N777 G771:G773 G778:N778 H779:N779 G780:N780 H781:N798 G787:G788 G799:N799 N800 G801:N801 G812:G813 G823:N823 H824:N824 G826:M827 N826:N840 H828:M835 G833:G834 G838:M838 H839:M840 G901:N901 H902 I902:N903 G905:H905 I905:N1048576">
    <cfRule type="cellIs" dxfId="37" priority="75" operator="lessThan">
      <formula>0</formula>
    </cfRule>
  </conditionalFormatting>
  <conditionalFormatting sqref="G156:N156">
    <cfRule type="cellIs" dxfId="36" priority="60" operator="lessThan">
      <formula>0</formula>
    </cfRule>
  </conditionalFormatting>
  <conditionalFormatting sqref="G259:N259">
    <cfRule type="cellIs" dxfId="35" priority="5" operator="lessThan">
      <formula>0</formula>
    </cfRule>
  </conditionalFormatting>
  <conditionalFormatting sqref="G322:N322">
    <cfRule type="cellIs" dxfId="34" priority="3" operator="lessThan">
      <formula>0</formula>
    </cfRule>
  </conditionalFormatting>
  <conditionalFormatting sqref="G335:N335 H842:N899">
    <cfRule type="cellIs" dxfId="33" priority="1" operator="lessThan">
      <formula>0</formula>
    </cfRule>
  </conditionalFormatting>
  <conditionalFormatting sqref="G352:N352 H353:N355 H357:N360">
    <cfRule type="cellIs" dxfId="32" priority="45" operator="lessThan">
      <formula>0</formula>
    </cfRule>
  </conditionalFormatting>
  <conditionalFormatting sqref="G381:N381">
    <cfRule type="cellIs" dxfId="31" priority="7" operator="lessThan">
      <formula>0</formula>
    </cfRule>
  </conditionalFormatting>
  <conditionalFormatting sqref="H378:J378 H380:N380 H382:J384">
    <cfRule type="cellIs" dxfId="30" priority="8" operator="lessThan">
      <formula>0</formula>
    </cfRule>
  </conditionalFormatting>
  <conditionalFormatting sqref="H460:J467 H469:N470 H472:N478 H481:N483 H486:L489 H491:J498 H500:N506 H508:N508">
    <cfRule type="cellIs" dxfId="29" priority="37" operator="lessThan">
      <formula>0</formula>
    </cfRule>
  </conditionalFormatting>
  <conditionalFormatting sqref="H160:N161 H163:N163 H165:N168 H172:N173 H175:N175 H177:N180 K184:L187 H189:N189">
    <cfRule type="cellIs" dxfId="28" priority="58" operator="lessThan">
      <formula>0</formula>
    </cfRule>
  </conditionalFormatting>
  <conditionalFormatting sqref="H191:N197">
    <cfRule type="cellIs" dxfId="27" priority="57" operator="lessThan">
      <formula>0</formula>
    </cfRule>
  </conditionalFormatting>
  <conditionalFormatting sqref="H200:N200 H203:N205 H207:N213 M216:N216">
    <cfRule type="cellIs" dxfId="26" priority="16" operator="lessThan">
      <formula>0</formula>
    </cfRule>
  </conditionalFormatting>
  <conditionalFormatting sqref="H219:N219 H221:N225 K228:N230 H232:N238 H241:N242">
    <cfRule type="cellIs" dxfId="25" priority="14" operator="lessThan">
      <formula>0</formula>
    </cfRule>
  </conditionalFormatting>
  <conditionalFormatting sqref="H244:N248 H251:N252 H254:N255 H258:N258 H260:N260 H262:N266">
    <cfRule type="cellIs" dxfId="24" priority="53" operator="lessThan">
      <formula>0</formula>
    </cfRule>
  </conditionalFormatting>
  <conditionalFormatting sqref="H269:N273 H275:N276 H278:N282">
    <cfRule type="cellIs" dxfId="23" priority="52" operator="lessThan">
      <formula>0</formula>
    </cfRule>
  </conditionalFormatting>
  <conditionalFormatting sqref="H332:N334 H336:N339">
    <cfRule type="cellIs" dxfId="22" priority="2" operator="lessThan">
      <formula>0</formula>
    </cfRule>
  </conditionalFormatting>
  <conditionalFormatting sqref="H364:N365 H367:N370">
    <cfRule type="cellIs" dxfId="21" priority="44" operator="lessThan">
      <formula>0</formula>
    </cfRule>
  </conditionalFormatting>
  <conditionalFormatting sqref="H401:N401 H403:N403">
    <cfRule type="cellIs" dxfId="20" priority="42" operator="lessThan">
      <formula>0</formula>
    </cfRule>
  </conditionalFormatting>
  <conditionalFormatting sqref="H407:N407 H409:N409 H413:N415 H417:N417 H419:N425">
    <cfRule type="cellIs" dxfId="19" priority="41" operator="lessThan">
      <formula>0</formula>
    </cfRule>
  </conditionalFormatting>
  <conditionalFormatting sqref="H614:N627">
    <cfRule type="cellIs" dxfId="18" priority="12" operator="lessThan">
      <formula>0</formula>
    </cfRule>
  </conditionalFormatting>
  <conditionalFormatting sqref="H802:N822">
    <cfRule type="cellIs" dxfId="17" priority="9" operator="lessThan">
      <formula>0</formula>
    </cfRule>
  </conditionalFormatting>
  <conditionalFormatting sqref="I20:J21 I23:J28 I95:J110 J111 I112:J117 I122:J124 I126:J126 H184:J185 H187:J187 H216:J216 H228:J229 H374:J375 H386:J386 H390:J390 H456:J456 M456 H510:J514 H532:J536 H552:J555 H557:J557 H577:J578 H580:J585 H587:J587 H611:J612 H630:J637 H800:L800 H836:J836 L836">
    <cfRule type="cellIs" dxfId="16" priority="76" operator="lessThan">
      <formula>0</formula>
    </cfRule>
  </conditionalFormatting>
  <conditionalFormatting sqref="I4:N4 I6:N18 K20:L28 K122:L126 I128:N129 I131:N137 I139:L139 I141:N151 I153:N154">
    <cfRule type="cellIs" dxfId="15" priority="61" operator="lessThan">
      <formula>0</formula>
    </cfRule>
  </conditionalFormatting>
  <conditionalFormatting sqref="K216:L217">
    <cfRule type="cellIs" dxfId="14" priority="55" operator="lessThan">
      <formula>0</formula>
    </cfRule>
  </conditionalFormatting>
  <conditionalFormatting sqref="K374:L378 K382:L386">
    <cfRule type="cellIs" dxfId="13" priority="43" operator="lessThan">
      <formula>0</formula>
    </cfRule>
  </conditionalFormatting>
  <conditionalFormatting sqref="M23:M28 I31:N51 I53:N53 I55:N69 I71:N76 I78:N81 I83:N90 I92:M93 K95:M117 I119:N120 M122:M124">
    <cfRule type="cellIs" dxfId="12" priority="17" operator="lessThan">
      <formula>0</formula>
    </cfRule>
  </conditionalFormatting>
  <pageMargins left="0" right="0" top="0" bottom="0" header="0.3" footer="0.3"/>
  <pageSetup paperSize="3" scale="98" fitToHeight="0" orientation="portrait" r:id="rId1"/>
  <ignoredErrors>
    <ignoredError sqref="M838 L490:N49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AE13-8C20-40A9-9D9D-EB54532F1687}">
  <sheetPr>
    <pageSetUpPr fitToPage="1"/>
  </sheetPr>
  <dimension ref="A1:N120"/>
  <sheetViews>
    <sheetView zoomScale="90" zoomScaleNormal="90" workbookViewId="0">
      <pane ySplit="1" topLeftCell="A2" activePane="bottomLeft" state="frozen"/>
      <selection activeCell="N22" sqref="N22"/>
      <selection pane="bottomLeft" activeCell="N15" sqref="N15"/>
    </sheetView>
  </sheetViews>
  <sheetFormatPr defaultColWidth="9.33203125" defaultRowHeight="12.75" x14ac:dyDescent="0.2"/>
  <cols>
    <col min="1" max="4" width="5" style="31" customWidth="1"/>
    <col min="5" max="5" width="54.5" style="31" bestFit="1" customWidth="1"/>
    <col min="6" max="9" width="17" style="30" hidden="1" customWidth="1"/>
    <col min="10" max="12" width="17" style="30" customWidth="1"/>
    <col min="13" max="13" width="17" style="6" customWidth="1"/>
    <col min="14" max="16384" width="9.33203125" style="12"/>
  </cols>
  <sheetData>
    <row r="1" spans="1:13" ht="25.5" customHeight="1" x14ac:dyDescent="0.2">
      <c r="A1" s="283" t="s">
        <v>420</v>
      </c>
      <c r="B1" s="284"/>
      <c r="C1" s="284"/>
      <c r="D1" s="284"/>
      <c r="E1" s="285"/>
      <c r="F1" s="144" t="s">
        <v>0</v>
      </c>
      <c r="G1" s="144" t="s">
        <v>1</v>
      </c>
      <c r="H1" s="144" t="s">
        <v>2</v>
      </c>
      <c r="I1" s="144" t="s">
        <v>3</v>
      </c>
      <c r="J1" s="144" t="s">
        <v>315</v>
      </c>
      <c r="K1" s="144" t="s">
        <v>527</v>
      </c>
      <c r="L1" s="144" t="s">
        <v>529</v>
      </c>
      <c r="M1" s="144" t="s">
        <v>528</v>
      </c>
    </row>
    <row r="2" spans="1:13" x14ac:dyDescent="0.2">
      <c r="A2" s="286" t="s">
        <v>4</v>
      </c>
      <c r="B2" s="286"/>
      <c r="C2" s="286"/>
      <c r="D2" s="286"/>
      <c r="E2" s="286"/>
      <c r="F2" s="7">
        <f t="shared" ref="F2:M2" si="0">SUM(F3:F24)</f>
        <v>23121054</v>
      </c>
      <c r="G2" s="7">
        <f t="shared" si="0"/>
        <v>23941528</v>
      </c>
      <c r="H2" s="7">
        <f t="shared" si="0"/>
        <v>26017032</v>
      </c>
      <c r="I2" s="7">
        <f t="shared" si="0"/>
        <v>27136883.609999999</v>
      </c>
      <c r="J2" s="7">
        <f t="shared" si="0"/>
        <v>27667077</v>
      </c>
      <c r="K2" s="7">
        <f t="shared" si="0"/>
        <v>31031846</v>
      </c>
      <c r="L2" s="7">
        <f t="shared" si="0"/>
        <v>28056619</v>
      </c>
      <c r="M2" s="7">
        <f t="shared" si="0"/>
        <v>33175883</v>
      </c>
    </row>
    <row r="3" spans="1:13" x14ac:dyDescent="0.2">
      <c r="A3" s="43"/>
      <c r="B3" s="267" t="s">
        <v>6</v>
      </c>
      <c r="C3" s="267"/>
      <c r="D3" s="267"/>
      <c r="E3" s="267"/>
      <c r="F3" s="9">
        <v>0</v>
      </c>
      <c r="G3" s="50">
        <v>0</v>
      </c>
      <c r="H3" s="50">
        <v>0</v>
      </c>
      <c r="I3" s="50">
        <v>0</v>
      </c>
      <c r="J3" s="50">
        <v>0</v>
      </c>
      <c r="K3" s="50">
        <v>2365846</v>
      </c>
      <c r="L3" s="50">
        <v>0</v>
      </c>
      <c r="M3" s="50">
        <v>3689133</v>
      </c>
    </row>
    <row r="4" spans="1:13" x14ac:dyDescent="0.2">
      <c r="A4" s="43"/>
      <c r="B4" s="267" t="s">
        <v>287</v>
      </c>
      <c r="C4" s="267"/>
      <c r="D4" s="267"/>
      <c r="E4" s="267"/>
      <c r="F4" s="9">
        <v>21230248</v>
      </c>
      <c r="G4" s="50">
        <v>22010313</v>
      </c>
      <c r="H4" s="51">
        <v>23430468</v>
      </c>
      <c r="I4" s="51">
        <v>23063844.41</v>
      </c>
      <c r="J4" s="51">
        <v>25190218</v>
      </c>
      <c r="K4" s="50">
        <v>26260000</v>
      </c>
      <c r="L4" s="51">
        <v>25590000</v>
      </c>
      <c r="M4" s="50">
        <v>27040000</v>
      </c>
    </row>
    <row r="5" spans="1:13" x14ac:dyDescent="0.2">
      <c r="A5" s="43"/>
      <c r="B5" s="267" t="s">
        <v>288</v>
      </c>
      <c r="C5" s="267"/>
      <c r="D5" s="267"/>
      <c r="E5" s="267"/>
      <c r="F5" s="9">
        <v>27563</v>
      </c>
      <c r="G5" s="50">
        <v>31265</v>
      </c>
      <c r="H5" s="51">
        <v>30782</v>
      </c>
      <c r="I5" s="51">
        <v>1430334.74</v>
      </c>
      <c r="J5" s="51">
        <v>30009</v>
      </c>
      <c r="K5" s="50">
        <v>31000</v>
      </c>
      <c r="L5" s="51">
        <v>31416</v>
      </c>
      <c r="M5" s="50">
        <v>31000</v>
      </c>
    </row>
    <row r="6" spans="1:13" x14ac:dyDescent="0.2">
      <c r="A6" s="43"/>
      <c r="B6" s="267" t="s">
        <v>289</v>
      </c>
      <c r="C6" s="267"/>
      <c r="D6" s="267"/>
      <c r="E6" s="267"/>
      <c r="F6" s="9">
        <v>53251</v>
      </c>
      <c r="G6" s="50">
        <v>9125</v>
      </c>
      <c r="H6" s="51">
        <v>25250</v>
      </c>
      <c r="I6" s="51">
        <v>38750</v>
      </c>
      <c r="J6" s="51">
        <v>31380</v>
      </c>
      <c r="K6" s="50">
        <v>35000</v>
      </c>
      <c r="L6" s="51">
        <v>29125</v>
      </c>
      <c r="M6" s="50">
        <v>35000</v>
      </c>
    </row>
    <row r="7" spans="1:13" x14ac:dyDescent="0.2">
      <c r="A7" s="43"/>
      <c r="B7" s="267" t="s">
        <v>290</v>
      </c>
      <c r="C7" s="267"/>
      <c r="D7" s="267"/>
      <c r="E7" s="267"/>
      <c r="F7" s="9">
        <v>7077</v>
      </c>
      <c r="G7" s="50">
        <v>6635</v>
      </c>
      <c r="H7" s="51">
        <v>5810</v>
      </c>
      <c r="I7" s="51">
        <v>0</v>
      </c>
      <c r="J7" s="51">
        <v>4931</v>
      </c>
      <c r="K7" s="50">
        <v>0</v>
      </c>
      <c r="L7" s="51">
        <v>0</v>
      </c>
      <c r="M7" s="50">
        <v>0</v>
      </c>
    </row>
    <row r="8" spans="1:13" x14ac:dyDescent="0.2">
      <c r="A8" s="43"/>
      <c r="B8" s="267" t="s">
        <v>291</v>
      </c>
      <c r="C8" s="267"/>
      <c r="D8" s="267"/>
      <c r="E8" s="267"/>
      <c r="F8" s="9">
        <v>29573</v>
      </c>
      <c r="G8" s="50">
        <v>21737</v>
      </c>
      <c r="H8" s="51">
        <v>30206</v>
      </c>
      <c r="I8" s="51">
        <v>32968.400000000001</v>
      </c>
      <c r="J8" s="51">
        <v>29603</v>
      </c>
      <c r="K8" s="50">
        <v>32000</v>
      </c>
      <c r="L8" s="51">
        <v>24601</v>
      </c>
      <c r="M8" s="50">
        <v>32000</v>
      </c>
    </row>
    <row r="9" spans="1:13" x14ac:dyDescent="0.2">
      <c r="A9" s="43"/>
      <c r="B9" s="267" t="s">
        <v>292</v>
      </c>
      <c r="C9" s="267"/>
      <c r="D9" s="267"/>
      <c r="E9" s="267"/>
      <c r="F9" s="9">
        <v>528296</v>
      </c>
      <c r="G9" s="50">
        <v>555928</v>
      </c>
      <c r="H9" s="51">
        <v>694108</v>
      </c>
      <c r="I9" s="51">
        <v>743743</v>
      </c>
      <c r="J9" s="51">
        <v>603860</v>
      </c>
      <c r="K9" s="50">
        <v>650000</v>
      </c>
      <c r="L9" s="51">
        <v>663000</v>
      </c>
      <c r="M9" s="50">
        <v>650000</v>
      </c>
    </row>
    <row r="10" spans="1:13" x14ac:dyDescent="0.2">
      <c r="A10" s="43"/>
      <c r="B10" s="267" t="s">
        <v>293</v>
      </c>
      <c r="C10" s="267"/>
      <c r="D10" s="267"/>
      <c r="E10" s="267"/>
      <c r="F10" s="9">
        <v>365603</v>
      </c>
      <c r="G10" s="50">
        <v>325193</v>
      </c>
      <c r="H10" s="51">
        <v>373264</v>
      </c>
      <c r="I10" s="51">
        <v>337785</v>
      </c>
      <c r="J10" s="51">
        <v>430700</v>
      </c>
      <c r="K10" s="50">
        <v>350000</v>
      </c>
      <c r="L10" s="51">
        <v>425877</v>
      </c>
      <c r="M10" s="50">
        <v>375000</v>
      </c>
    </row>
    <row r="11" spans="1:13" x14ac:dyDescent="0.2">
      <c r="A11" s="43"/>
      <c r="B11" s="267" t="s">
        <v>294</v>
      </c>
      <c r="C11" s="267"/>
      <c r="D11" s="267"/>
      <c r="E11" s="267"/>
      <c r="F11" s="9">
        <v>27891</v>
      </c>
      <c r="G11" s="50">
        <v>27732</v>
      </c>
      <c r="H11" s="51">
        <v>26818</v>
      </c>
      <c r="I11" s="51">
        <v>19479.71</v>
      </c>
      <c r="J11" s="51">
        <v>24921</v>
      </c>
      <c r="K11" s="50">
        <v>24000</v>
      </c>
      <c r="L11" s="51">
        <v>25600</v>
      </c>
      <c r="M11" s="50">
        <v>25750</v>
      </c>
    </row>
    <row r="12" spans="1:13" x14ac:dyDescent="0.2">
      <c r="A12" s="43"/>
      <c r="B12" s="267" t="s">
        <v>295</v>
      </c>
      <c r="C12" s="267"/>
      <c r="D12" s="267"/>
      <c r="E12" s="267"/>
      <c r="F12" s="9">
        <v>114198</v>
      </c>
      <c r="G12" s="50">
        <v>152300</v>
      </c>
      <c r="H12" s="51">
        <v>630159</v>
      </c>
      <c r="I12" s="51">
        <v>640079.5</v>
      </c>
      <c r="J12" s="51">
        <v>645395</v>
      </c>
      <c r="K12" s="50">
        <v>500000</v>
      </c>
      <c r="L12" s="51">
        <v>615000</v>
      </c>
      <c r="M12" s="50">
        <v>615000</v>
      </c>
    </row>
    <row r="13" spans="1:13" x14ac:dyDescent="0.2">
      <c r="A13" s="43"/>
      <c r="B13" s="267" t="s">
        <v>296</v>
      </c>
      <c r="C13" s="267"/>
      <c r="D13" s="267"/>
      <c r="E13" s="267"/>
      <c r="F13" s="9">
        <v>1137</v>
      </c>
      <c r="G13" s="50">
        <v>10985</v>
      </c>
      <c r="H13" s="51">
        <v>96684</v>
      </c>
      <c r="I13" s="51">
        <v>32097.35</v>
      </c>
      <c r="J13" s="51">
        <v>40526</v>
      </c>
      <c r="K13" s="50">
        <v>50000</v>
      </c>
      <c r="L13" s="51">
        <v>10000</v>
      </c>
      <c r="M13" s="50">
        <v>40000</v>
      </c>
    </row>
    <row r="14" spans="1:13" x14ac:dyDescent="0.2">
      <c r="A14" s="43"/>
      <c r="B14" s="267" t="s">
        <v>126</v>
      </c>
      <c r="C14" s="267"/>
      <c r="D14" s="267"/>
      <c r="E14" s="267"/>
      <c r="F14" s="9">
        <v>43901</v>
      </c>
      <c r="G14" s="50">
        <v>26278</v>
      </c>
      <c r="H14" s="51">
        <v>17846</v>
      </c>
      <c r="I14" s="51">
        <v>39444</v>
      </c>
      <c r="J14" s="51">
        <v>24190</v>
      </c>
      <c r="K14" s="50">
        <v>40000</v>
      </c>
      <c r="L14" s="51">
        <v>24000</v>
      </c>
      <c r="M14" s="50">
        <v>25000</v>
      </c>
    </row>
    <row r="15" spans="1:13" x14ac:dyDescent="0.2">
      <c r="A15" s="43"/>
      <c r="B15" s="267" t="s">
        <v>127</v>
      </c>
      <c r="C15" s="267"/>
      <c r="D15" s="267"/>
      <c r="E15" s="267"/>
      <c r="F15" s="9">
        <v>23345</v>
      </c>
      <c r="G15" s="50">
        <v>28841</v>
      </c>
      <c r="H15" s="51">
        <v>27376</v>
      </c>
      <c r="I15" s="51">
        <v>35760</v>
      </c>
      <c r="J15" s="51">
        <v>83036</v>
      </c>
      <c r="K15" s="50">
        <v>45000</v>
      </c>
      <c r="L15" s="51">
        <v>53000</v>
      </c>
      <c r="M15" s="50">
        <v>45000</v>
      </c>
    </row>
    <row r="16" spans="1:13" x14ac:dyDescent="0.2">
      <c r="A16" s="43"/>
      <c r="B16" s="267" t="s">
        <v>297</v>
      </c>
      <c r="C16" s="267"/>
      <c r="D16" s="267"/>
      <c r="E16" s="267"/>
      <c r="F16" s="9">
        <v>41600</v>
      </c>
      <c r="G16" s="50">
        <v>30000</v>
      </c>
      <c r="H16" s="51">
        <v>27065</v>
      </c>
      <c r="I16" s="51">
        <v>63890.5</v>
      </c>
      <c r="J16" s="51">
        <v>22465</v>
      </c>
      <c r="K16" s="50">
        <v>30000</v>
      </c>
      <c r="L16" s="51">
        <v>35000</v>
      </c>
      <c r="M16" s="50">
        <v>34000</v>
      </c>
    </row>
    <row r="17" spans="1:14" x14ac:dyDescent="0.2">
      <c r="A17" s="43"/>
      <c r="B17" s="267" t="s">
        <v>298</v>
      </c>
      <c r="C17" s="267"/>
      <c r="D17" s="267"/>
      <c r="E17" s="267"/>
      <c r="F17" s="9">
        <v>25603</v>
      </c>
      <c r="G17" s="50">
        <v>16937</v>
      </c>
      <c r="H17" s="51">
        <v>12784</v>
      </c>
      <c r="I17" s="51">
        <v>20575</v>
      </c>
      <c r="J17" s="51">
        <v>13827</v>
      </c>
      <c r="K17" s="50">
        <v>18000</v>
      </c>
      <c r="L17" s="51">
        <v>23000</v>
      </c>
      <c r="M17" s="50">
        <v>18000</v>
      </c>
    </row>
    <row r="18" spans="1:14" x14ac:dyDescent="0.2">
      <c r="A18" s="43"/>
      <c r="B18" s="267" t="s">
        <v>299</v>
      </c>
      <c r="C18" s="267"/>
      <c r="D18" s="267"/>
      <c r="E18" s="267"/>
      <c r="F18" s="9">
        <v>55375</v>
      </c>
      <c r="G18" s="50">
        <v>132762</v>
      </c>
      <c r="H18" s="51">
        <v>33000</v>
      </c>
      <c r="I18" s="51">
        <v>68000</v>
      </c>
      <c r="J18" s="51">
        <v>81000</v>
      </c>
      <c r="K18" s="50">
        <v>75000</v>
      </c>
      <c r="L18" s="51">
        <v>70000</v>
      </c>
      <c r="M18" s="50">
        <v>70000</v>
      </c>
    </row>
    <row r="19" spans="1:14" x14ac:dyDescent="0.2">
      <c r="A19" s="43"/>
      <c r="B19" s="267" t="s">
        <v>300</v>
      </c>
      <c r="C19" s="267"/>
      <c r="D19" s="267"/>
      <c r="E19" s="267"/>
      <c r="F19" s="9">
        <v>356659</v>
      </c>
      <c r="G19" s="50">
        <v>349035</v>
      </c>
      <c r="H19" s="51">
        <v>362669</v>
      </c>
      <c r="I19" s="51">
        <v>353482</v>
      </c>
      <c r="J19" s="51">
        <v>360036</v>
      </c>
      <c r="K19" s="50">
        <v>371000</v>
      </c>
      <c r="L19" s="51">
        <v>369000</v>
      </c>
      <c r="M19" s="50">
        <v>371000</v>
      </c>
    </row>
    <row r="20" spans="1:14" x14ac:dyDescent="0.2">
      <c r="A20" s="43"/>
      <c r="B20" s="267" t="s">
        <v>301</v>
      </c>
      <c r="C20" s="267"/>
      <c r="D20" s="267"/>
      <c r="E20" s="267"/>
      <c r="F20" s="9">
        <v>26318</v>
      </c>
      <c r="G20" s="50">
        <v>14969</v>
      </c>
      <c r="H20" s="51">
        <v>34886</v>
      </c>
      <c r="I20" s="51">
        <v>0</v>
      </c>
      <c r="J20" s="51">
        <v>9840</v>
      </c>
      <c r="K20" s="50">
        <v>25000</v>
      </c>
      <c r="L20" s="51">
        <v>12000</v>
      </c>
      <c r="M20" s="50">
        <v>15000</v>
      </c>
    </row>
    <row r="21" spans="1:14" x14ac:dyDescent="0.2">
      <c r="A21" s="43"/>
      <c r="B21" s="267" t="s">
        <v>131</v>
      </c>
      <c r="C21" s="267"/>
      <c r="D21" s="267"/>
      <c r="E21" s="267"/>
      <c r="F21" s="9">
        <v>64059</v>
      </c>
      <c r="G21" s="50">
        <v>4984</v>
      </c>
      <c r="H21" s="51">
        <v>0</v>
      </c>
      <c r="I21" s="51">
        <v>31656</v>
      </c>
      <c r="J21" s="51">
        <v>0</v>
      </c>
      <c r="K21" s="50">
        <v>10000</v>
      </c>
      <c r="L21" s="51">
        <v>2000</v>
      </c>
      <c r="M21" s="50">
        <v>5000</v>
      </c>
    </row>
    <row r="22" spans="1:14" x14ac:dyDescent="0.2">
      <c r="A22" s="43"/>
      <c r="B22" s="267" t="s">
        <v>145</v>
      </c>
      <c r="C22" s="267"/>
      <c r="D22" s="267"/>
      <c r="E22" s="267"/>
      <c r="F22" s="9">
        <v>34230</v>
      </c>
      <c r="G22" s="50">
        <v>116768</v>
      </c>
      <c r="H22" s="51">
        <v>106598</v>
      </c>
      <c r="I22" s="51">
        <v>133595</v>
      </c>
      <c r="J22" s="51">
        <v>10485</v>
      </c>
      <c r="K22" s="50">
        <v>75000</v>
      </c>
      <c r="L22" s="51">
        <v>5000</v>
      </c>
      <c r="M22" s="50">
        <v>10000</v>
      </c>
    </row>
    <row r="23" spans="1:14" x14ac:dyDescent="0.2">
      <c r="A23" s="43"/>
      <c r="B23" s="267" t="s">
        <v>53</v>
      </c>
      <c r="C23" s="267"/>
      <c r="D23" s="267"/>
      <c r="E23" s="267"/>
      <c r="F23" s="9">
        <v>65127</v>
      </c>
      <c r="G23" s="50">
        <v>69741</v>
      </c>
      <c r="H23" s="51">
        <v>51259</v>
      </c>
      <c r="I23" s="51">
        <v>51399</v>
      </c>
      <c r="J23" s="51">
        <v>30625</v>
      </c>
      <c r="K23" s="50">
        <v>45000</v>
      </c>
      <c r="L23" s="51">
        <v>49000</v>
      </c>
      <c r="M23" s="50">
        <v>50000</v>
      </c>
    </row>
    <row r="24" spans="1:14" x14ac:dyDescent="0.2">
      <c r="A24" s="43"/>
      <c r="B24" s="267" t="s">
        <v>52</v>
      </c>
      <c r="C24" s="267"/>
      <c r="D24" s="267"/>
      <c r="E24" s="267"/>
      <c r="F24" s="9">
        <v>0</v>
      </c>
      <c r="G24" s="50">
        <v>0</v>
      </c>
      <c r="H24" s="51">
        <v>0</v>
      </c>
      <c r="I24" s="51">
        <v>0</v>
      </c>
      <c r="J24" s="51">
        <v>30</v>
      </c>
      <c r="K24" s="50">
        <v>0</v>
      </c>
      <c r="L24" s="51">
        <v>0</v>
      </c>
      <c r="M24" s="50">
        <v>0</v>
      </c>
    </row>
    <row r="25" spans="1:14" x14ac:dyDescent="0.2">
      <c r="A25" s="293" t="s">
        <v>156</v>
      </c>
      <c r="B25" s="293"/>
      <c r="C25" s="293"/>
      <c r="D25" s="293"/>
      <c r="E25" s="293"/>
      <c r="F25" s="10">
        <v>22824486.449999999</v>
      </c>
      <c r="G25" s="10">
        <v>24657936.93</v>
      </c>
      <c r="H25" s="10">
        <v>27502521.620000001</v>
      </c>
      <c r="I25" s="10">
        <v>26716716.779999997</v>
      </c>
      <c r="J25" s="10">
        <f>J26+J107+J118</f>
        <v>21010780.354000002</v>
      </c>
      <c r="K25" s="10">
        <f>K26+K107+K118</f>
        <v>31030846</v>
      </c>
      <c r="L25" s="10">
        <f>L26+L107+L118</f>
        <v>28577762</v>
      </c>
      <c r="M25" s="10">
        <f>M26+M107+M118</f>
        <v>33175883</v>
      </c>
    </row>
    <row r="26" spans="1:14" x14ac:dyDescent="0.2">
      <c r="A26" s="32"/>
      <c r="B26" s="131" t="s">
        <v>303</v>
      </c>
      <c r="C26" s="131"/>
      <c r="D26" s="131"/>
      <c r="E26" s="131"/>
      <c r="F26" s="11">
        <f>F27+F40+F50+F73+F83</f>
        <v>9645353</v>
      </c>
      <c r="G26" s="11">
        <f>G27+G40+G50+G73+G83</f>
        <v>9719524</v>
      </c>
      <c r="H26" s="11">
        <f>H27+H40+H50+H73+H83</f>
        <v>11105011</v>
      </c>
      <c r="I26" s="11">
        <f>I27+I40+I50+I73+I83</f>
        <v>11727804.629999999</v>
      </c>
      <c r="J26" s="11">
        <f>J27+J40+J50+J73+J83</f>
        <v>12268725.564000001</v>
      </c>
      <c r="K26" s="11">
        <v>15735557</v>
      </c>
      <c r="L26" s="11">
        <f>L27+L40+L50+L73+L83</f>
        <v>13602359</v>
      </c>
      <c r="M26" s="11">
        <f>M27+M40+M50+M73+M83</f>
        <v>16658109</v>
      </c>
    </row>
    <row r="27" spans="1:14" x14ac:dyDescent="0.2">
      <c r="A27" s="32"/>
      <c r="B27" s="131"/>
      <c r="C27" s="294" t="s">
        <v>404</v>
      </c>
      <c r="D27" s="295"/>
      <c r="E27" s="296"/>
      <c r="F27" s="37">
        <f t="shared" ref="F27:M27" si="1">F28+F33+F35</f>
        <v>196873</v>
      </c>
      <c r="G27" s="37">
        <f t="shared" si="1"/>
        <v>142044</v>
      </c>
      <c r="H27" s="37">
        <f t="shared" si="1"/>
        <v>144165</v>
      </c>
      <c r="I27" s="37">
        <f t="shared" si="1"/>
        <v>123531.55999999998</v>
      </c>
      <c r="J27" s="37">
        <f t="shared" si="1"/>
        <v>166077.68999999997</v>
      </c>
      <c r="K27" s="37">
        <f t="shared" si="1"/>
        <v>203720</v>
      </c>
      <c r="L27" s="37">
        <f t="shared" si="1"/>
        <v>185795</v>
      </c>
      <c r="M27" s="37">
        <f t="shared" si="1"/>
        <v>229152</v>
      </c>
    </row>
    <row r="28" spans="1:14" ht="12.75" customHeight="1" x14ac:dyDescent="0.2">
      <c r="B28" s="33"/>
      <c r="C28" s="129"/>
      <c r="D28" s="288" t="s">
        <v>159</v>
      </c>
      <c r="E28" s="289"/>
      <c r="F28" s="38">
        <f t="shared" ref="F28:M28" si="2">SUM(F29:F32)</f>
        <v>191530</v>
      </c>
      <c r="G28" s="38">
        <f t="shared" si="2"/>
        <v>139431</v>
      </c>
      <c r="H28" s="38">
        <f t="shared" si="2"/>
        <v>143410</v>
      </c>
      <c r="I28" s="38">
        <f t="shared" si="2"/>
        <v>123123.55999999998</v>
      </c>
      <c r="J28" s="38">
        <f t="shared" si="2"/>
        <v>157877.68999999997</v>
      </c>
      <c r="K28" s="38">
        <f t="shared" si="2"/>
        <v>202970</v>
      </c>
      <c r="L28" s="38">
        <f t="shared" si="2"/>
        <v>177795</v>
      </c>
      <c r="M28" s="38">
        <f t="shared" si="2"/>
        <v>216152</v>
      </c>
      <c r="N28" s="28"/>
    </row>
    <row r="29" spans="1:14" x14ac:dyDescent="0.2">
      <c r="B29" s="33"/>
      <c r="C29" s="33"/>
      <c r="D29" s="33"/>
      <c r="E29" s="34" t="s">
        <v>160</v>
      </c>
      <c r="F29" s="47">
        <v>170501</v>
      </c>
      <c r="G29" s="47">
        <v>122597</v>
      </c>
      <c r="H29" s="39">
        <v>115316</v>
      </c>
      <c r="I29" s="39">
        <v>104994.26</v>
      </c>
      <c r="J29" s="39">
        <v>152407.51999999999</v>
      </c>
      <c r="K29" s="39">
        <v>197670</v>
      </c>
      <c r="L29" s="39">
        <v>172857</v>
      </c>
      <c r="M29" s="39">
        <v>210852</v>
      </c>
      <c r="N29" s="28"/>
    </row>
    <row r="30" spans="1:14" x14ac:dyDescent="0.2">
      <c r="B30" s="33"/>
      <c r="C30" s="33"/>
      <c r="D30" s="33"/>
      <c r="E30" s="34" t="s">
        <v>179</v>
      </c>
      <c r="F30" s="47">
        <v>12993</v>
      </c>
      <c r="G30" s="47">
        <v>7219</v>
      </c>
      <c r="H30" s="39">
        <v>10054</v>
      </c>
      <c r="I30" s="39">
        <v>4171.79</v>
      </c>
      <c r="J30" s="39">
        <v>3777.05</v>
      </c>
      <c r="K30" s="39">
        <v>3500</v>
      </c>
      <c r="L30" s="39">
        <v>3482</v>
      </c>
      <c r="M30" s="39">
        <v>3500</v>
      </c>
      <c r="N30" s="28"/>
    </row>
    <row r="31" spans="1:14" x14ac:dyDescent="0.2">
      <c r="B31" s="33"/>
      <c r="C31" s="33"/>
      <c r="D31" s="33"/>
      <c r="E31" s="34" t="s">
        <v>172</v>
      </c>
      <c r="F31" s="47">
        <v>7811</v>
      </c>
      <c r="G31" s="47">
        <v>9615</v>
      </c>
      <c r="H31" s="39">
        <v>18040</v>
      </c>
      <c r="I31" s="39">
        <v>13957.51</v>
      </c>
      <c r="J31" s="39">
        <v>1693.12</v>
      </c>
      <c r="K31" s="39">
        <v>1800</v>
      </c>
      <c r="L31" s="39">
        <v>1456</v>
      </c>
      <c r="M31" s="39">
        <v>1800</v>
      </c>
      <c r="N31" s="28"/>
    </row>
    <row r="32" spans="1:14" x14ac:dyDescent="0.2">
      <c r="B32" s="33"/>
      <c r="C32" s="33"/>
      <c r="D32" s="33"/>
      <c r="E32" s="34" t="s">
        <v>196</v>
      </c>
      <c r="F32" s="47">
        <v>225</v>
      </c>
      <c r="G32" s="47">
        <v>0</v>
      </c>
      <c r="H32" s="39">
        <v>0</v>
      </c>
      <c r="I32" s="39">
        <v>0</v>
      </c>
      <c r="J32" s="39">
        <v>0</v>
      </c>
      <c r="K32" s="39">
        <v>0</v>
      </c>
      <c r="L32" s="39">
        <v>0</v>
      </c>
      <c r="M32" s="39">
        <v>0</v>
      </c>
      <c r="N32" s="28"/>
    </row>
    <row r="33" spans="2:14" ht="12.75" customHeight="1" x14ac:dyDescent="0.2">
      <c r="B33" s="33"/>
      <c r="C33" s="129"/>
      <c r="D33" s="288" t="s">
        <v>181</v>
      </c>
      <c r="E33" s="289"/>
      <c r="F33" s="40">
        <f t="shared" ref="F33:M33" si="3">F34</f>
        <v>1413</v>
      </c>
      <c r="G33" s="40">
        <f t="shared" si="3"/>
        <v>1425</v>
      </c>
      <c r="H33" s="40">
        <f t="shared" si="3"/>
        <v>0</v>
      </c>
      <c r="I33" s="40">
        <f t="shared" si="3"/>
        <v>408</v>
      </c>
      <c r="J33" s="40">
        <f t="shared" si="3"/>
        <v>0</v>
      </c>
      <c r="K33" s="40">
        <f t="shared" si="3"/>
        <v>750</v>
      </c>
      <c r="L33" s="40">
        <f t="shared" si="3"/>
        <v>0</v>
      </c>
      <c r="M33" s="40">
        <f t="shared" si="3"/>
        <v>5000</v>
      </c>
      <c r="N33" s="28"/>
    </row>
    <row r="34" spans="2:14" x14ac:dyDescent="0.2">
      <c r="B34" s="33"/>
      <c r="C34" s="33"/>
      <c r="D34" s="33"/>
      <c r="E34" s="35" t="s">
        <v>405</v>
      </c>
      <c r="F34" s="96">
        <v>1413</v>
      </c>
      <c r="G34" s="96">
        <v>1425</v>
      </c>
      <c r="H34" s="39">
        <v>0</v>
      </c>
      <c r="I34" s="39">
        <v>408</v>
      </c>
      <c r="J34" s="39">
        <v>0</v>
      </c>
      <c r="K34" s="39">
        <v>750</v>
      </c>
      <c r="L34" s="39">
        <v>0</v>
      </c>
      <c r="M34" s="39">
        <v>5000</v>
      </c>
      <c r="N34" s="28"/>
    </row>
    <row r="35" spans="2:14" ht="12.75" customHeight="1" x14ac:dyDescent="0.2">
      <c r="B35" s="33"/>
      <c r="C35" s="129"/>
      <c r="D35" s="288" t="s">
        <v>170</v>
      </c>
      <c r="E35" s="289"/>
      <c r="F35" s="40">
        <f t="shared" ref="F35:M35" si="4">SUM(F36:F39)</f>
        <v>3930</v>
      </c>
      <c r="G35" s="40">
        <f t="shared" si="4"/>
        <v>1188</v>
      </c>
      <c r="H35" s="40">
        <f t="shared" si="4"/>
        <v>755</v>
      </c>
      <c r="I35" s="40">
        <f t="shared" si="4"/>
        <v>0</v>
      </c>
      <c r="J35" s="40">
        <f t="shared" si="4"/>
        <v>8200</v>
      </c>
      <c r="K35" s="40">
        <f t="shared" si="4"/>
        <v>0</v>
      </c>
      <c r="L35" s="40">
        <f t="shared" si="4"/>
        <v>8000</v>
      </c>
      <c r="M35" s="40">
        <f t="shared" si="4"/>
        <v>8000</v>
      </c>
      <c r="N35" s="28"/>
    </row>
    <row r="36" spans="2:14" x14ac:dyDescent="0.2">
      <c r="B36" s="33"/>
      <c r="C36" s="33"/>
      <c r="D36" s="33"/>
      <c r="E36" s="34" t="s">
        <v>165</v>
      </c>
      <c r="F36" s="47">
        <v>720</v>
      </c>
      <c r="G36" s="47">
        <v>1157</v>
      </c>
      <c r="H36" s="39">
        <v>500</v>
      </c>
      <c r="I36" s="39">
        <v>0</v>
      </c>
      <c r="J36" s="39">
        <v>0</v>
      </c>
      <c r="K36" s="39">
        <v>0</v>
      </c>
      <c r="L36" s="39">
        <v>0</v>
      </c>
      <c r="M36" s="39">
        <v>0</v>
      </c>
      <c r="N36" s="28"/>
    </row>
    <row r="37" spans="2:14" x14ac:dyDescent="0.2">
      <c r="B37" s="33"/>
      <c r="C37" s="33"/>
      <c r="D37" s="33"/>
      <c r="E37" s="34" t="s">
        <v>166</v>
      </c>
      <c r="F37" s="47">
        <v>3210</v>
      </c>
      <c r="G37" s="47">
        <v>31</v>
      </c>
      <c r="H37" s="39">
        <v>255</v>
      </c>
      <c r="I37" s="39">
        <v>0</v>
      </c>
      <c r="J37" s="39">
        <v>0</v>
      </c>
      <c r="K37" s="39">
        <v>0</v>
      </c>
      <c r="L37" s="39">
        <v>0</v>
      </c>
      <c r="M37" s="39">
        <v>0</v>
      </c>
      <c r="N37" s="28"/>
    </row>
    <row r="38" spans="2:14" x14ac:dyDescent="0.2">
      <c r="B38" s="33"/>
      <c r="C38" s="33"/>
      <c r="D38" s="33"/>
      <c r="E38" s="34" t="s">
        <v>168</v>
      </c>
      <c r="F38" s="47">
        <v>0</v>
      </c>
      <c r="G38" s="47">
        <v>0</v>
      </c>
      <c r="H38" s="39">
        <v>0</v>
      </c>
      <c r="I38" s="39">
        <v>0</v>
      </c>
      <c r="J38" s="39">
        <v>200</v>
      </c>
      <c r="K38" s="39">
        <v>0</v>
      </c>
      <c r="L38" s="39">
        <v>0</v>
      </c>
      <c r="M38" s="39">
        <v>0</v>
      </c>
      <c r="N38" s="28"/>
    </row>
    <row r="39" spans="2:14" x14ac:dyDescent="0.2">
      <c r="B39" s="33"/>
      <c r="C39" s="156"/>
      <c r="D39" s="157"/>
      <c r="E39" s="158" t="s">
        <v>176</v>
      </c>
      <c r="F39" s="47">
        <v>0</v>
      </c>
      <c r="G39" s="47">
        <v>0</v>
      </c>
      <c r="H39" s="39">
        <v>0</v>
      </c>
      <c r="I39" s="39">
        <v>0</v>
      </c>
      <c r="J39" s="39">
        <v>8000</v>
      </c>
      <c r="K39" s="39">
        <v>0</v>
      </c>
      <c r="L39" s="39">
        <v>8000</v>
      </c>
      <c r="M39" s="39">
        <v>8000</v>
      </c>
      <c r="N39" s="28"/>
    </row>
    <row r="40" spans="2:14" ht="12.75" customHeight="1" x14ac:dyDescent="0.2">
      <c r="B40" s="130"/>
      <c r="C40" s="290" t="s">
        <v>406</v>
      </c>
      <c r="D40" s="291"/>
      <c r="E40" s="292"/>
      <c r="F40" s="37">
        <f t="shared" ref="F40:M40" si="5">F41+F45+F47</f>
        <v>748479</v>
      </c>
      <c r="G40" s="37">
        <f t="shared" si="5"/>
        <v>739730</v>
      </c>
      <c r="H40" s="37">
        <f t="shared" si="5"/>
        <v>1068215</v>
      </c>
      <c r="I40" s="37">
        <f t="shared" si="5"/>
        <v>1278590.03</v>
      </c>
      <c r="J40" s="37">
        <f t="shared" si="5"/>
        <v>1228917.6500000001</v>
      </c>
      <c r="K40" s="37">
        <f t="shared" si="5"/>
        <v>2110782</v>
      </c>
      <c r="L40" s="37">
        <f t="shared" si="5"/>
        <v>2004523</v>
      </c>
      <c r="M40" s="37">
        <f t="shared" si="5"/>
        <v>2324487</v>
      </c>
    </row>
    <row r="41" spans="2:14" ht="12.75" customHeight="1" x14ac:dyDescent="0.2">
      <c r="B41" s="33"/>
      <c r="C41" s="129"/>
      <c r="D41" s="288" t="s">
        <v>159</v>
      </c>
      <c r="E41" s="289"/>
      <c r="F41" s="38">
        <f t="shared" ref="F41:M41" si="6">SUM(F42:F44)</f>
        <v>360250</v>
      </c>
      <c r="G41" s="38">
        <f t="shared" si="6"/>
        <v>368276</v>
      </c>
      <c r="H41" s="38">
        <f t="shared" si="6"/>
        <v>452966</v>
      </c>
      <c r="I41" s="38">
        <f t="shared" si="6"/>
        <v>434603.85</v>
      </c>
      <c r="J41" s="38">
        <f t="shared" si="6"/>
        <v>468646.57</v>
      </c>
      <c r="K41" s="38">
        <f t="shared" si="6"/>
        <v>695372</v>
      </c>
      <c r="L41" s="38">
        <f t="shared" si="6"/>
        <v>643953</v>
      </c>
      <c r="M41" s="38">
        <f t="shared" si="6"/>
        <v>952377</v>
      </c>
      <c r="N41" s="28"/>
    </row>
    <row r="42" spans="2:14" x14ac:dyDescent="0.2">
      <c r="B42" s="33"/>
      <c r="C42" s="33"/>
      <c r="D42" s="33"/>
      <c r="E42" s="34" t="s">
        <v>160</v>
      </c>
      <c r="F42" s="47">
        <v>359703</v>
      </c>
      <c r="G42" s="47">
        <v>360541</v>
      </c>
      <c r="H42" s="39">
        <v>436974</v>
      </c>
      <c r="I42" s="39">
        <v>423740.99</v>
      </c>
      <c r="J42" s="39">
        <v>464989.11</v>
      </c>
      <c r="K42" s="39">
        <v>689822</v>
      </c>
      <c r="L42" s="39">
        <v>640715</v>
      </c>
      <c r="M42" s="39">
        <v>946827</v>
      </c>
      <c r="N42" s="28"/>
    </row>
    <row r="43" spans="2:14" x14ac:dyDescent="0.2">
      <c r="B43" s="33"/>
      <c r="C43" s="33"/>
      <c r="D43" s="33"/>
      <c r="E43" s="34" t="s">
        <v>179</v>
      </c>
      <c r="F43" s="47">
        <v>547</v>
      </c>
      <c r="G43" s="47">
        <v>7735</v>
      </c>
      <c r="H43" s="39">
        <v>15442</v>
      </c>
      <c r="I43" s="39">
        <v>10312.86</v>
      </c>
      <c r="J43" s="39">
        <v>2607.46</v>
      </c>
      <c r="K43" s="39">
        <v>5000</v>
      </c>
      <c r="L43" s="39">
        <v>2688</v>
      </c>
      <c r="M43" s="39">
        <v>5000</v>
      </c>
      <c r="N43" s="28"/>
    </row>
    <row r="44" spans="2:14" x14ac:dyDescent="0.2">
      <c r="B44" s="33"/>
      <c r="C44" s="33"/>
      <c r="D44" s="33"/>
      <c r="E44" s="34" t="s">
        <v>196</v>
      </c>
      <c r="F44" s="47">
        <v>0</v>
      </c>
      <c r="G44" s="47">
        <v>0</v>
      </c>
      <c r="H44" s="39">
        <v>550</v>
      </c>
      <c r="I44" s="39">
        <v>550</v>
      </c>
      <c r="J44" s="39">
        <v>1050</v>
      </c>
      <c r="K44" s="39">
        <v>550</v>
      </c>
      <c r="L44" s="39">
        <v>550</v>
      </c>
      <c r="M44" s="39">
        <v>550</v>
      </c>
      <c r="N44" s="28"/>
    </row>
    <row r="45" spans="2:14" ht="12.75" customHeight="1" x14ac:dyDescent="0.2">
      <c r="B45" s="33"/>
      <c r="C45" s="129"/>
      <c r="D45" s="288" t="s">
        <v>181</v>
      </c>
      <c r="E45" s="289"/>
      <c r="F45" s="40">
        <f t="shared" ref="F45:M45" si="7">F46</f>
        <v>0</v>
      </c>
      <c r="G45" s="40">
        <f t="shared" si="7"/>
        <v>2369</v>
      </c>
      <c r="H45" s="40">
        <f t="shared" si="7"/>
        <v>1500</v>
      </c>
      <c r="I45" s="40">
        <f t="shared" si="7"/>
        <v>5000</v>
      </c>
      <c r="J45" s="40">
        <f t="shared" si="7"/>
        <v>0</v>
      </c>
      <c r="K45" s="40">
        <f t="shared" si="7"/>
        <v>5000</v>
      </c>
      <c r="L45" s="40">
        <f t="shared" si="7"/>
        <v>485</v>
      </c>
      <c r="M45" s="40">
        <f t="shared" si="7"/>
        <v>10000</v>
      </c>
      <c r="N45" s="28"/>
    </row>
    <row r="46" spans="2:14" x14ac:dyDescent="0.2">
      <c r="B46" s="33"/>
      <c r="C46" s="33"/>
      <c r="D46" s="33"/>
      <c r="E46" s="35" t="s">
        <v>163</v>
      </c>
      <c r="F46" s="96">
        <v>0</v>
      </c>
      <c r="G46" s="96">
        <v>2369</v>
      </c>
      <c r="H46" s="39">
        <v>1500</v>
      </c>
      <c r="I46" s="39">
        <v>5000</v>
      </c>
      <c r="J46" s="39">
        <v>0</v>
      </c>
      <c r="K46" s="39">
        <v>5000</v>
      </c>
      <c r="L46" s="39">
        <v>485</v>
      </c>
      <c r="M46" s="39">
        <v>10000</v>
      </c>
      <c r="N46" s="28"/>
    </row>
    <row r="47" spans="2:14" ht="12.75" customHeight="1" x14ac:dyDescent="0.2">
      <c r="B47" s="33"/>
      <c r="C47" s="129"/>
      <c r="D47" s="288" t="s">
        <v>170</v>
      </c>
      <c r="E47" s="289"/>
      <c r="F47" s="40">
        <f t="shared" ref="F47:M47" si="8">SUM(F48:F49)</f>
        <v>388229</v>
      </c>
      <c r="G47" s="40">
        <f t="shared" si="8"/>
        <v>369085</v>
      </c>
      <c r="H47" s="40">
        <f t="shared" si="8"/>
        <v>613749</v>
      </c>
      <c r="I47" s="40">
        <f t="shared" si="8"/>
        <v>838986.18</v>
      </c>
      <c r="J47" s="40">
        <f t="shared" si="8"/>
        <v>760271.08000000007</v>
      </c>
      <c r="K47" s="40">
        <f t="shared" si="8"/>
        <v>1410410</v>
      </c>
      <c r="L47" s="40">
        <f t="shared" si="8"/>
        <v>1360085</v>
      </c>
      <c r="M47" s="40">
        <f t="shared" si="8"/>
        <v>1362110</v>
      </c>
      <c r="N47" s="28"/>
    </row>
    <row r="48" spans="2:14" x14ac:dyDescent="0.2">
      <c r="B48" s="33"/>
      <c r="C48" s="33"/>
      <c r="D48" s="33"/>
      <c r="E48" s="34" t="s">
        <v>167</v>
      </c>
      <c r="F48" s="47">
        <v>388229</v>
      </c>
      <c r="G48" s="47">
        <v>368363</v>
      </c>
      <c r="H48" s="39">
        <v>610035</v>
      </c>
      <c r="I48" s="39">
        <v>834634.63</v>
      </c>
      <c r="J48" s="39">
        <v>757558.05</v>
      </c>
      <c r="K48" s="39">
        <v>1406710</v>
      </c>
      <c r="L48" s="39">
        <v>1358710</v>
      </c>
      <c r="M48" s="39">
        <v>1358710</v>
      </c>
      <c r="N48" s="28"/>
    </row>
    <row r="49" spans="2:14" x14ac:dyDescent="0.2">
      <c r="B49" s="33"/>
      <c r="C49" s="33"/>
      <c r="D49" s="33"/>
      <c r="E49" s="34" t="s">
        <v>388</v>
      </c>
      <c r="F49" s="47">
        <v>0</v>
      </c>
      <c r="G49" s="47">
        <v>722</v>
      </c>
      <c r="H49" s="39">
        <v>3714</v>
      </c>
      <c r="I49" s="39">
        <f>2706.76+1644.79</f>
        <v>4351.55</v>
      </c>
      <c r="J49" s="39">
        <v>2713.0299999999997</v>
      </c>
      <c r="K49" s="39">
        <v>3700</v>
      </c>
      <c r="L49" s="39">
        <v>1375</v>
      </c>
      <c r="M49" s="39">
        <v>3400</v>
      </c>
      <c r="N49" s="28"/>
    </row>
    <row r="50" spans="2:14" ht="12.75" customHeight="1" x14ac:dyDescent="0.2">
      <c r="B50" s="130"/>
      <c r="C50" s="290" t="s">
        <v>407</v>
      </c>
      <c r="D50" s="291"/>
      <c r="E50" s="292"/>
      <c r="F50" s="41">
        <v>777640</v>
      </c>
      <c r="G50" s="41">
        <v>830936</v>
      </c>
      <c r="H50" s="41">
        <v>1318493</v>
      </c>
      <c r="I50" s="41">
        <v>1378900.5700000003</v>
      </c>
      <c r="J50" s="41">
        <f>J51+J61+J64</f>
        <v>1304501.4440000001</v>
      </c>
      <c r="K50" s="41">
        <v>2108435</v>
      </c>
      <c r="L50" s="41">
        <v>1388546</v>
      </c>
      <c r="M50" s="41">
        <v>1872599</v>
      </c>
    </row>
    <row r="51" spans="2:14" ht="12.75" customHeight="1" x14ac:dyDescent="0.2">
      <c r="B51" s="36"/>
      <c r="C51" s="129"/>
      <c r="D51" s="288" t="s">
        <v>159</v>
      </c>
      <c r="E51" s="289"/>
      <c r="F51" s="38">
        <f t="shared" ref="F51:M51" si="9">SUM(F52:F60)</f>
        <v>327058</v>
      </c>
      <c r="G51" s="38">
        <f t="shared" si="9"/>
        <v>229921</v>
      </c>
      <c r="H51" s="38">
        <f t="shared" si="9"/>
        <v>186976</v>
      </c>
      <c r="I51" s="38">
        <f t="shared" si="9"/>
        <v>206164.77</v>
      </c>
      <c r="J51" s="38">
        <f t="shared" si="9"/>
        <v>212790.96</v>
      </c>
      <c r="K51" s="38">
        <f t="shared" si="9"/>
        <v>266119</v>
      </c>
      <c r="L51" s="38">
        <f t="shared" si="9"/>
        <v>262746</v>
      </c>
      <c r="M51" s="38">
        <f t="shared" si="9"/>
        <v>275434</v>
      </c>
      <c r="N51" s="28"/>
    </row>
    <row r="52" spans="2:14" x14ac:dyDescent="0.2">
      <c r="B52" s="33"/>
      <c r="C52" s="33"/>
      <c r="D52" s="33"/>
      <c r="E52" s="34" t="s">
        <v>160</v>
      </c>
      <c r="F52" s="47">
        <v>70481</v>
      </c>
      <c r="G52" s="47">
        <v>80796</v>
      </c>
      <c r="H52" s="39">
        <v>58849</v>
      </c>
      <c r="I52" s="39">
        <v>54770.65</v>
      </c>
      <c r="J52" s="39">
        <v>40590.050000000003</v>
      </c>
      <c r="K52" s="39">
        <v>6500</v>
      </c>
      <c r="L52" s="39">
        <v>76465</v>
      </c>
      <c r="M52" s="39">
        <v>78698</v>
      </c>
      <c r="N52" s="28"/>
    </row>
    <row r="53" spans="2:14" x14ac:dyDescent="0.2">
      <c r="B53" s="33"/>
      <c r="C53" s="33"/>
      <c r="D53" s="33"/>
      <c r="E53" s="34" t="s">
        <v>201</v>
      </c>
      <c r="F53" s="47">
        <v>234015</v>
      </c>
      <c r="G53" s="47">
        <v>135545</v>
      </c>
      <c r="H53" s="39">
        <v>114526</v>
      </c>
      <c r="I53" s="39">
        <v>117026.7</v>
      </c>
      <c r="J53" s="39">
        <v>129424.54</v>
      </c>
      <c r="K53" s="39">
        <v>216169</v>
      </c>
      <c r="L53" s="39">
        <v>163020</v>
      </c>
      <c r="M53" s="39">
        <v>167036</v>
      </c>
      <c r="N53" s="28"/>
    </row>
    <row r="54" spans="2:14" x14ac:dyDescent="0.2">
      <c r="B54" s="33"/>
      <c r="C54" s="33"/>
      <c r="D54" s="33"/>
      <c r="E54" s="34" t="s">
        <v>161</v>
      </c>
      <c r="F54" s="47">
        <v>0</v>
      </c>
      <c r="G54" s="47">
        <v>0</v>
      </c>
      <c r="H54" s="39">
        <v>0</v>
      </c>
      <c r="I54" s="39">
        <v>13104</v>
      </c>
      <c r="J54" s="39">
        <v>17536</v>
      </c>
      <c r="K54" s="39">
        <v>18500</v>
      </c>
      <c r="L54" s="39">
        <v>2000</v>
      </c>
      <c r="M54" s="39">
        <v>5000</v>
      </c>
      <c r="N54" s="28"/>
    </row>
    <row r="55" spans="2:14" x14ac:dyDescent="0.2">
      <c r="B55" s="33"/>
      <c r="C55" s="33"/>
      <c r="D55" s="33"/>
      <c r="E55" s="34" t="s">
        <v>179</v>
      </c>
      <c r="F55" s="47">
        <v>17709</v>
      </c>
      <c r="G55" s="47">
        <v>10490</v>
      </c>
      <c r="H55" s="39">
        <v>11393</v>
      </c>
      <c r="I55" s="39">
        <v>15589.44</v>
      </c>
      <c r="J55" s="39">
        <v>19061.560000000001</v>
      </c>
      <c r="K55" s="39">
        <v>18000</v>
      </c>
      <c r="L55" s="39">
        <v>18465</v>
      </c>
      <c r="M55" s="39">
        <v>18000</v>
      </c>
      <c r="N55" s="28"/>
    </row>
    <row r="56" spans="2:14" x14ac:dyDescent="0.2">
      <c r="B56" s="33"/>
      <c r="C56" s="33"/>
      <c r="D56" s="33"/>
      <c r="E56" s="34" t="s">
        <v>184</v>
      </c>
      <c r="F56" s="47">
        <v>2673</v>
      </c>
      <c r="G56" s="47">
        <v>979</v>
      </c>
      <c r="H56" s="39">
        <v>0</v>
      </c>
      <c r="I56" s="39">
        <v>0</v>
      </c>
      <c r="J56" s="39">
        <v>0</v>
      </c>
      <c r="K56" s="39">
        <v>0</v>
      </c>
      <c r="L56" s="39">
        <v>0</v>
      </c>
      <c r="M56" s="39">
        <v>0</v>
      </c>
      <c r="N56" s="28"/>
    </row>
    <row r="57" spans="2:14" x14ac:dyDescent="0.2">
      <c r="B57" s="33"/>
      <c r="C57" s="33"/>
      <c r="D57" s="33"/>
      <c r="E57" s="34" t="s">
        <v>202</v>
      </c>
      <c r="F57" s="47">
        <v>79</v>
      </c>
      <c r="G57" s="47">
        <v>38</v>
      </c>
      <c r="H57" s="39">
        <v>16</v>
      </c>
      <c r="I57" s="39">
        <v>16.8</v>
      </c>
      <c r="J57" s="39">
        <v>27.41</v>
      </c>
      <c r="K57" s="39">
        <v>0</v>
      </c>
      <c r="L57" s="39">
        <v>96</v>
      </c>
      <c r="M57" s="39">
        <v>0</v>
      </c>
      <c r="N57" s="28"/>
    </row>
    <row r="58" spans="2:14" x14ac:dyDescent="0.2">
      <c r="B58" s="33"/>
      <c r="C58" s="33"/>
      <c r="D58" s="33"/>
      <c r="E58" s="34" t="s">
        <v>172</v>
      </c>
      <c r="F58" s="47">
        <v>626</v>
      </c>
      <c r="G58" s="47">
        <v>1098</v>
      </c>
      <c r="H58" s="39">
        <v>542</v>
      </c>
      <c r="I58" s="39">
        <v>3607.18</v>
      </c>
      <c r="J58" s="39">
        <v>4701.3999999999996</v>
      </c>
      <c r="K58" s="39">
        <v>5000</v>
      </c>
      <c r="L58" s="39">
        <v>1000</v>
      </c>
      <c r="M58" s="39">
        <v>5000</v>
      </c>
      <c r="N58" s="28"/>
    </row>
    <row r="59" spans="2:14" x14ac:dyDescent="0.2">
      <c r="B59" s="33"/>
      <c r="C59" s="33"/>
      <c r="D59" s="33"/>
      <c r="E59" s="34" t="s">
        <v>196</v>
      </c>
      <c r="F59" s="47">
        <v>1475</v>
      </c>
      <c r="G59" s="47">
        <v>975</v>
      </c>
      <c r="H59" s="39">
        <v>1250</v>
      </c>
      <c r="I59" s="39">
        <v>1250</v>
      </c>
      <c r="J59" s="39">
        <v>750</v>
      </c>
      <c r="K59" s="39">
        <v>750</v>
      </c>
      <c r="L59" s="39">
        <v>500</v>
      </c>
      <c r="M59" s="39">
        <v>500</v>
      </c>
      <c r="N59" s="28"/>
    </row>
    <row r="60" spans="2:14" x14ac:dyDescent="0.2">
      <c r="B60" s="33"/>
      <c r="C60" s="33"/>
      <c r="D60" s="33"/>
      <c r="E60" s="34" t="s">
        <v>203</v>
      </c>
      <c r="F60" s="47">
        <v>0</v>
      </c>
      <c r="G60" s="47">
        <v>0</v>
      </c>
      <c r="H60" s="39">
        <v>400</v>
      </c>
      <c r="I60" s="39">
        <v>800</v>
      </c>
      <c r="J60" s="39">
        <v>700</v>
      </c>
      <c r="K60" s="39">
        <v>1200</v>
      </c>
      <c r="L60" s="39">
        <v>1200</v>
      </c>
      <c r="M60" s="39">
        <v>1200</v>
      </c>
      <c r="N60" s="28"/>
    </row>
    <row r="61" spans="2:14" ht="12.75" customHeight="1" x14ac:dyDescent="0.2">
      <c r="B61" s="33"/>
      <c r="C61" s="129"/>
      <c r="D61" s="288" t="s">
        <v>181</v>
      </c>
      <c r="E61" s="289"/>
      <c r="F61" s="40">
        <f t="shared" ref="F61:M61" si="10">SUM(F62:F63)</f>
        <v>2246</v>
      </c>
      <c r="G61" s="40">
        <f t="shared" si="10"/>
        <v>2701</v>
      </c>
      <c r="H61" s="40">
        <f t="shared" si="10"/>
        <v>4580</v>
      </c>
      <c r="I61" s="40">
        <f t="shared" si="10"/>
        <v>1685.6</v>
      </c>
      <c r="J61" s="40">
        <f t="shared" si="10"/>
        <v>767.4</v>
      </c>
      <c r="K61" s="40">
        <f t="shared" si="10"/>
        <v>2000</v>
      </c>
      <c r="L61" s="40">
        <f t="shared" si="10"/>
        <v>1000</v>
      </c>
      <c r="M61" s="40">
        <f t="shared" si="10"/>
        <v>6000</v>
      </c>
      <c r="N61" s="28"/>
    </row>
    <row r="62" spans="2:14" x14ac:dyDescent="0.2">
      <c r="B62" s="33"/>
      <c r="C62" s="33"/>
      <c r="D62" s="33"/>
      <c r="E62" s="35" t="s">
        <v>408</v>
      </c>
      <c r="F62" s="96">
        <v>256</v>
      </c>
      <c r="G62" s="96">
        <v>784</v>
      </c>
      <c r="H62" s="39">
        <v>2522</v>
      </c>
      <c r="I62" s="39">
        <v>1000</v>
      </c>
      <c r="J62" s="39">
        <v>767.4</v>
      </c>
      <c r="K62" s="39">
        <v>1000</v>
      </c>
      <c r="L62" s="39">
        <v>400</v>
      </c>
      <c r="M62" s="39">
        <v>5000</v>
      </c>
      <c r="N62" s="28"/>
    </row>
    <row r="63" spans="2:14" x14ac:dyDescent="0.2">
      <c r="B63" s="33"/>
      <c r="C63" s="33"/>
      <c r="D63" s="33"/>
      <c r="E63" s="34" t="s">
        <v>186</v>
      </c>
      <c r="F63" s="47">
        <v>1990</v>
      </c>
      <c r="G63" s="47">
        <v>1917</v>
      </c>
      <c r="H63" s="39">
        <v>2058</v>
      </c>
      <c r="I63" s="39">
        <v>685.6</v>
      </c>
      <c r="J63" s="39">
        <v>0</v>
      </c>
      <c r="K63" s="39">
        <v>1000</v>
      </c>
      <c r="L63" s="39">
        <v>600</v>
      </c>
      <c r="M63" s="39">
        <v>1000</v>
      </c>
      <c r="N63" s="28"/>
    </row>
    <row r="64" spans="2:14" ht="12.75" customHeight="1" x14ac:dyDescent="0.2">
      <c r="B64" s="33"/>
      <c r="C64" s="129"/>
      <c r="D64" s="288" t="s">
        <v>170</v>
      </c>
      <c r="E64" s="289"/>
      <c r="F64" s="40">
        <f t="shared" ref="F64:M64" si="11">SUM(F65:F72)</f>
        <v>448336</v>
      </c>
      <c r="G64" s="40">
        <f t="shared" si="11"/>
        <v>598314</v>
      </c>
      <c r="H64" s="40">
        <f t="shared" si="11"/>
        <v>1126937</v>
      </c>
      <c r="I64" s="40">
        <f t="shared" si="11"/>
        <v>1171050.2000000002</v>
      </c>
      <c r="J64" s="40">
        <f t="shared" si="11"/>
        <v>1090943.084</v>
      </c>
      <c r="K64" s="40">
        <f t="shared" si="11"/>
        <v>1840316</v>
      </c>
      <c r="L64" s="40">
        <f t="shared" si="11"/>
        <v>1124800</v>
      </c>
      <c r="M64" s="40">
        <f t="shared" si="11"/>
        <v>1591165</v>
      </c>
      <c r="N64" s="28"/>
    </row>
    <row r="65" spans="2:14" x14ac:dyDescent="0.2">
      <c r="B65" s="33"/>
      <c r="C65" s="33"/>
      <c r="D65" s="33"/>
      <c r="E65" s="34" t="s">
        <v>207</v>
      </c>
      <c r="F65" s="47">
        <v>6576</v>
      </c>
      <c r="G65" s="47">
        <v>8659</v>
      </c>
      <c r="H65" s="39">
        <v>8013</v>
      </c>
      <c r="I65" s="39">
        <v>382.59</v>
      </c>
      <c r="J65" s="39">
        <v>5500.86</v>
      </c>
      <c r="K65" s="39">
        <v>8000</v>
      </c>
      <c r="L65" s="39">
        <v>4618</v>
      </c>
      <c r="M65" s="39">
        <v>8000</v>
      </c>
      <c r="N65" s="28"/>
    </row>
    <row r="66" spans="2:14" x14ac:dyDescent="0.2">
      <c r="B66" s="33"/>
      <c r="C66" s="33"/>
      <c r="D66" s="33"/>
      <c r="E66" s="34" t="s">
        <v>165</v>
      </c>
      <c r="F66" s="47">
        <v>0</v>
      </c>
      <c r="G66" s="47">
        <v>777</v>
      </c>
      <c r="H66" s="39">
        <v>721</v>
      </c>
      <c r="I66" s="39">
        <v>0</v>
      </c>
      <c r="J66" s="39">
        <v>0</v>
      </c>
      <c r="K66" s="39">
        <v>500</v>
      </c>
      <c r="L66" s="39">
        <v>100</v>
      </c>
      <c r="M66" s="39">
        <v>500</v>
      </c>
      <c r="N66" s="28"/>
    </row>
    <row r="67" spans="2:14" x14ac:dyDescent="0.2">
      <c r="B67" s="33"/>
      <c r="C67" s="33"/>
      <c r="D67" s="33"/>
      <c r="E67" s="34" t="s">
        <v>409</v>
      </c>
      <c r="F67" s="47">
        <v>428510</v>
      </c>
      <c r="G67" s="47">
        <v>551697</v>
      </c>
      <c r="H67" s="39">
        <v>1078671</v>
      </c>
      <c r="I67" s="39">
        <f>1041520.81+105385.09</f>
        <v>1146905.9000000001</v>
      </c>
      <c r="J67" s="39">
        <v>1068092.0900000001</v>
      </c>
      <c r="K67" s="39">
        <v>1776616</v>
      </c>
      <c r="L67" s="39">
        <v>1093865</v>
      </c>
      <c r="M67" s="39">
        <v>1530900</v>
      </c>
      <c r="N67" s="28"/>
    </row>
    <row r="68" spans="2:14" x14ac:dyDescent="0.2">
      <c r="B68" s="33"/>
      <c r="C68" s="33"/>
      <c r="D68" s="33"/>
      <c r="E68" s="34" t="s">
        <v>187</v>
      </c>
      <c r="F68" s="47">
        <v>5013</v>
      </c>
      <c r="G68" s="47">
        <v>2402</v>
      </c>
      <c r="H68" s="39">
        <v>3587</v>
      </c>
      <c r="I68" s="39">
        <v>2175.0300000000002</v>
      </c>
      <c r="J68" s="39">
        <v>2947.72</v>
      </c>
      <c r="K68" s="39">
        <v>3000</v>
      </c>
      <c r="L68" s="39">
        <v>0</v>
      </c>
      <c r="M68" s="39">
        <v>0</v>
      </c>
      <c r="N68" s="28"/>
    </row>
    <row r="69" spans="2:14" x14ac:dyDescent="0.2">
      <c r="B69" s="33"/>
      <c r="C69" s="33"/>
      <c r="D69" s="33"/>
      <c r="E69" s="34" t="s">
        <v>410</v>
      </c>
      <c r="F69" s="47">
        <v>7397</v>
      </c>
      <c r="G69" s="47">
        <v>32161</v>
      </c>
      <c r="H69" s="39">
        <v>12480</v>
      </c>
      <c r="I69" s="39">
        <f>8753.56+6684.09</f>
        <v>15437.65</v>
      </c>
      <c r="J69" s="39">
        <v>11689.939999999999</v>
      </c>
      <c r="K69" s="39">
        <v>11800</v>
      </c>
      <c r="L69" s="39">
        <v>12924</v>
      </c>
      <c r="M69" s="39">
        <v>14365</v>
      </c>
      <c r="N69" s="28"/>
    </row>
    <row r="70" spans="2:14" x14ac:dyDescent="0.2">
      <c r="B70" s="33"/>
      <c r="C70" s="33"/>
      <c r="D70" s="33"/>
      <c r="E70" s="34" t="s">
        <v>167</v>
      </c>
      <c r="F70" s="47">
        <v>0</v>
      </c>
      <c r="G70" s="47">
        <v>0</v>
      </c>
      <c r="H70" s="39">
        <v>21650</v>
      </c>
      <c r="I70" s="39">
        <v>5750</v>
      </c>
      <c r="J70" s="39">
        <v>0</v>
      </c>
      <c r="K70" s="39">
        <v>27800</v>
      </c>
      <c r="L70" s="39">
        <v>11624</v>
      </c>
      <c r="M70" s="39">
        <v>24800</v>
      </c>
      <c r="N70" s="28"/>
    </row>
    <row r="71" spans="2:14" x14ac:dyDescent="0.2">
      <c r="B71" s="33"/>
      <c r="C71" s="33"/>
      <c r="D71" s="33"/>
      <c r="E71" s="34" t="s">
        <v>168</v>
      </c>
      <c r="F71" s="47">
        <v>450</v>
      </c>
      <c r="G71" s="47">
        <v>1765</v>
      </c>
      <c r="H71" s="39">
        <v>1555</v>
      </c>
      <c r="I71" s="39">
        <v>130</v>
      </c>
      <c r="J71" s="39">
        <v>2300</v>
      </c>
      <c r="K71" s="39">
        <v>12000</v>
      </c>
      <c r="L71" s="39">
        <v>1215</v>
      </c>
      <c r="M71" s="39">
        <v>12000</v>
      </c>
      <c r="N71" s="28"/>
    </row>
    <row r="72" spans="2:14" x14ac:dyDescent="0.2">
      <c r="B72" s="33"/>
      <c r="C72" s="33"/>
      <c r="D72" s="33"/>
      <c r="E72" s="34" t="s">
        <v>176</v>
      </c>
      <c r="F72" s="47">
        <v>390</v>
      </c>
      <c r="G72" s="47">
        <v>853</v>
      </c>
      <c r="H72" s="39">
        <v>260</v>
      </c>
      <c r="I72" s="39">
        <v>269.02999999999997</v>
      </c>
      <c r="J72" s="39">
        <v>412.47399999999999</v>
      </c>
      <c r="K72" s="39">
        <v>600</v>
      </c>
      <c r="L72" s="39">
        <v>454</v>
      </c>
      <c r="M72" s="39">
        <v>600</v>
      </c>
      <c r="N72" s="28"/>
    </row>
    <row r="73" spans="2:14" ht="12.75" customHeight="1" x14ac:dyDescent="0.2">
      <c r="B73" s="130"/>
      <c r="C73" s="290" t="s">
        <v>411</v>
      </c>
      <c r="D73" s="291"/>
      <c r="E73" s="292"/>
      <c r="F73" s="37">
        <f t="shared" ref="F73:M73" si="12">F74+F78+F80</f>
        <v>689495</v>
      </c>
      <c r="G73" s="37">
        <f t="shared" si="12"/>
        <v>640265</v>
      </c>
      <c r="H73" s="37">
        <f t="shared" si="12"/>
        <v>874304</v>
      </c>
      <c r="I73" s="37">
        <f t="shared" si="12"/>
        <v>889948.97</v>
      </c>
      <c r="J73" s="37">
        <f t="shared" si="12"/>
        <v>1020088.2200000001</v>
      </c>
      <c r="K73" s="37">
        <f t="shared" si="12"/>
        <v>1151714</v>
      </c>
      <c r="L73" s="37">
        <f t="shared" si="12"/>
        <v>1118693</v>
      </c>
      <c r="M73" s="37">
        <f t="shared" si="12"/>
        <v>1261691</v>
      </c>
    </row>
    <row r="74" spans="2:14" ht="12.75" customHeight="1" x14ac:dyDescent="0.2">
      <c r="B74" s="33"/>
      <c r="C74" s="129"/>
      <c r="D74" s="288" t="s">
        <v>159</v>
      </c>
      <c r="E74" s="289"/>
      <c r="F74" s="38">
        <f t="shared" ref="F74:M74" si="13">SUM(F75:F77)</f>
        <v>141369</v>
      </c>
      <c r="G74" s="38">
        <f t="shared" si="13"/>
        <v>142997</v>
      </c>
      <c r="H74" s="38">
        <f t="shared" si="13"/>
        <v>160769</v>
      </c>
      <c r="I74" s="38">
        <f t="shared" si="13"/>
        <v>153598.85</v>
      </c>
      <c r="J74" s="38">
        <f t="shared" si="13"/>
        <v>163822.92000000001</v>
      </c>
      <c r="K74" s="38">
        <f t="shared" si="13"/>
        <v>165685</v>
      </c>
      <c r="L74" s="38">
        <f t="shared" si="13"/>
        <v>170792</v>
      </c>
      <c r="M74" s="38">
        <f t="shared" si="13"/>
        <v>171458</v>
      </c>
      <c r="N74" s="28"/>
    </row>
    <row r="75" spans="2:14" x14ac:dyDescent="0.2">
      <c r="B75" s="33"/>
      <c r="C75" s="33"/>
      <c r="D75" s="33"/>
      <c r="E75" s="34" t="s">
        <v>160</v>
      </c>
      <c r="F75" s="47">
        <v>141144</v>
      </c>
      <c r="G75" s="47">
        <v>142772</v>
      </c>
      <c r="H75" s="39">
        <v>160269</v>
      </c>
      <c r="I75" s="39">
        <v>153098.85</v>
      </c>
      <c r="J75" s="39">
        <v>163322.92000000001</v>
      </c>
      <c r="K75" s="39">
        <v>165185</v>
      </c>
      <c r="L75" s="39">
        <v>170292</v>
      </c>
      <c r="M75" s="39">
        <v>170958</v>
      </c>
      <c r="N75" s="28"/>
    </row>
    <row r="76" spans="2:14" x14ac:dyDescent="0.2">
      <c r="B76" s="33"/>
      <c r="C76" s="33"/>
      <c r="D76" s="33"/>
      <c r="E76" s="34" t="s">
        <v>179</v>
      </c>
      <c r="F76" s="47">
        <v>0</v>
      </c>
      <c r="G76" s="47">
        <v>0</v>
      </c>
      <c r="H76" s="39">
        <v>0</v>
      </c>
      <c r="I76" s="39">
        <v>0</v>
      </c>
      <c r="J76" s="39">
        <v>0</v>
      </c>
      <c r="K76" s="39">
        <v>0</v>
      </c>
      <c r="L76" s="39">
        <v>0</v>
      </c>
      <c r="M76" s="39">
        <v>0</v>
      </c>
      <c r="N76" s="28"/>
    </row>
    <row r="77" spans="2:14" x14ac:dyDescent="0.2">
      <c r="B77" s="33"/>
      <c r="C77" s="33"/>
      <c r="D77" s="33"/>
      <c r="E77" s="34" t="s">
        <v>196</v>
      </c>
      <c r="F77" s="47">
        <v>225</v>
      </c>
      <c r="G77" s="47">
        <v>225</v>
      </c>
      <c r="H77" s="39">
        <v>500</v>
      </c>
      <c r="I77" s="39">
        <v>500</v>
      </c>
      <c r="J77" s="39">
        <v>500</v>
      </c>
      <c r="K77" s="39">
        <v>500</v>
      </c>
      <c r="L77" s="39">
        <v>500</v>
      </c>
      <c r="M77" s="39">
        <v>500</v>
      </c>
      <c r="N77" s="28"/>
    </row>
    <row r="78" spans="2:14" ht="12.75" customHeight="1" x14ac:dyDescent="0.2">
      <c r="B78" s="33"/>
      <c r="C78" s="129"/>
      <c r="D78" s="288" t="s">
        <v>181</v>
      </c>
      <c r="E78" s="289"/>
      <c r="F78" s="40">
        <f t="shared" ref="F78:M78" si="14">F79</f>
        <v>0</v>
      </c>
      <c r="G78" s="40">
        <f t="shared" si="14"/>
        <v>0</v>
      </c>
      <c r="H78" s="40">
        <f t="shared" si="14"/>
        <v>0</v>
      </c>
      <c r="I78" s="40">
        <f t="shared" si="14"/>
        <v>1000</v>
      </c>
      <c r="J78" s="40">
        <f t="shared" si="14"/>
        <v>0</v>
      </c>
      <c r="K78" s="40">
        <f t="shared" si="14"/>
        <v>500</v>
      </c>
      <c r="L78" s="40">
        <f t="shared" si="14"/>
        <v>250</v>
      </c>
      <c r="M78" s="40">
        <f t="shared" si="14"/>
        <v>500</v>
      </c>
      <c r="N78" s="28"/>
    </row>
    <row r="79" spans="2:14" x14ac:dyDescent="0.2">
      <c r="B79" s="33"/>
      <c r="C79" s="33"/>
      <c r="D79" s="33"/>
      <c r="E79" s="35" t="s">
        <v>163</v>
      </c>
      <c r="F79" s="96">
        <v>0</v>
      </c>
      <c r="G79" s="96">
        <v>0</v>
      </c>
      <c r="H79" s="39">
        <v>0</v>
      </c>
      <c r="I79" s="39">
        <v>1000</v>
      </c>
      <c r="J79" s="39">
        <v>0</v>
      </c>
      <c r="K79" s="39">
        <v>500</v>
      </c>
      <c r="L79" s="39">
        <v>250</v>
      </c>
      <c r="M79" s="39">
        <v>500</v>
      </c>
      <c r="N79" s="28"/>
    </row>
    <row r="80" spans="2:14" ht="12.75" customHeight="1" x14ac:dyDescent="0.2">
      <c r="B80" s="33"/>
      <c r="C80" s="129"/>
      <c r="D80" s="288" t="s">
        <v>170</v>
      </c>
      <c r="E80" s="289"/>
      <c r="F80" s="40">
        <f t="shared" ref="F80:M80" si="15">SUM(F81:F82)</f>
        <v>548126</v>
      </c>
      <c r="G80" s="40">
        <f t="shared" si="15"/>
        <v>497268</v>
      </c>
      <c r="H80" s="40">
        <f t="shared" si="15"/>
        <v>713535</v>
      </c>
      <c r="I80" s="40">
        <f t="shared" si="15"/>
        <v>735350.12</v>
      </c>
      <c r="J80" s="40">
        <f t="shared" si="15"/>
        <v>856265.3</v>
      </c>
      <c r="K80" s="40">
        <f t="shared" si="15"/>
        <v>985529</v>
      </c>
      <c r="L80" s="40">
        <f t="shared" si="15"/>
        <v>947651</v>
      </c>
      <c r="M80" s="40">
        <f t="shared" si="15"/>
        <v>1089733</v>
      </c>
      <c r="N80" s="28"/>
    </row>
    <row r="81" spans="2:14" x14ac:dyDescent="0.2">
      <c r="B81" s="33"/>
      <c r="C81" s="33"/>
      <c r="D81" s="33"/>
      <c r="E81" s="34" t="s">
        <v>167</v>
      </c>
      <c r="F81" s="47">
        <v>548126</v>
      </c>
      <c r="G81" s="47">
        <v>497268</v>
      </c>
      <c r="H81" s="39">
        <v>713535</v>
      </c>
      <c r="I81" s="39">
        <v>735350.12</v>
      </c>
      <c r="J81" s="39">
        <v>856265.3</v>
      </c>
      <c r="K81" s="39">
        <v>985029</v>
      </c>
      <c r="L81" s="39">
        <v>947551</v>
      </c>
      <c r="M81" s="39">
        <v>1089233</v>
      </c>
      <c r="N81" s="28"/>
    </row>
    <row r="82" spans="2:14" x14ac:dyDescent="0.2">
      <c r="B82" s="33"/>
      <c r="C82" s="33"/>
      <c r="D82" s="33"/>
      <c r="E82" s="34" t="s">
        <v>412</v>
      </c>
      <c r="F82" s="47">
        <v>0</v>
      </c>
      <c r="G82" s="47">
        <v>0</v>
      </c>
      <c r="H82" s="39">
        <v>0</v>
      </c>
      <c r="I82" s="39">
        <v>0</v>
      </c>
      <c r="J82" s="39">
        <v>0</v>
      </c>
      <c r="K82" s="39">
        <v>500</v>
      </c>
      <c r="L82" s="39">
        <v>100</v>
      </c>
      <c r="M82" s="39">
        <v>500</v>
      </c>
      <c r="N82" s="28"/>
    </row>
    <row r="83" spans="2:14" ht="12.75" customHeight="1" x14ac:dyDescent="0.2">
      <c r="B83" s="130"/>
      <c r="C83" s="290" t="s">
        <v>413</v>
      </c>
      <c r="D83" s="291"/>
      <c r="E83" s="292"/>
      <c r="F83" s="37">
        <f t="shared" ref="F83:M83" si="16">F84+F93+F96</f>
        <v>7232866</v>
      </c>
      <c r="G83" s="37">
        <f t="shared" si="16"/>
        <v>7366549</v>
      </c>
      <c r="H83" s="37">
        <f t="shared" si="16"/>
        <v>7699834</v>
      </c>
      <c r="I83" s="37">
        <f t="shared" si="16"/>
        <v>8056833.5</v>
      </c>
      <c r="J83" s="37">
        <f t="shared" si="16"/>
        <v>8549140.5600000005</v>
      </c>
      <c r="K83" s="37">
        <f t="shared" si="16"/>
        <v>10161906</v>
      </c>
      <c r="L83" s="37">
        <f t="shared" si="16"/>
        <v>8904802</v>
      </c>
      <c r="M83" s="37">
        <f t="shared" si="16"/>
        <v>10970180</v>
      </c>
    </row>
    <row r="84" spans="2:14" ht="12.75" customHeight="1" x14ac:dyDescent="0.2">
      <c r="B84" s="36"/>
      <c r="C84" s="129"/>
      <c r="D84" s="288" t="s">
        <v>159</v>
      </c>
      <c r="E84" s="289"/>
      <c r="F84" s="38">
        <f t="shared" ref="F84:M84" si="17">SUM(F85:F92)</f>
        <v>4309108</v>
      </c>
      <c r="G84" s="38">
        <f t="shared" si="17"/>
        <v>4299963</v>
      </c>
      <c r="H84" s="38">
        <f t="shared" si="17"/>
        <v>4604955</v>
      </c>
      <c r="I84" s="38">
        <f t="shared" si="17"/>
        <v>4439154.54</v>
      </c>
      <c r="J84" s="38">
        <f t="shared" si="17"/>
        <v>5000529.8900000006</v>
      </c>
      <c r="K84" s="38">
        <f t="shared" si="17"/>
        <v>5677204</v>
      </c>
      <c r="L84" s="38">
        <f t="shared" si="17"/>
        <v>5035520</v>
      </c>
      <c r="M84" s="38">
        <f t="shared" si="17"/>
        <v>5726349</v>
      </c>
      <c r="N84" s="28"/>
    </row>
    <row r="85" spans="2:14" x14ac:dyDescent="0.2">
      <c r="B85" s="33"/>
      <c r="C85" s="33"/>
      <c r="D85" s="33"/>
      <c r="E85" s="34" t="s">
        <v>160</v>
      </c>
      <c r="F85" s="47">
        <v>521418</v>
      </c>
      <c r="G85" s="47">
        <v>495655</v>
      </c>
      <c r="H85" s="39">
        <v>667385</v>
      </c>
      <c r="I85" s="39">
        <v>651093.04</v>
      </c>
      <c r="J85" s="39">
        <v>731300.58</v>
      </c>
      <c r="K85" s="39">
        <v>793368</v>
      </c>
      <c r="L85" s="39">
        <v>730509</v>
      </c>
      <c r="M85" s="39">
        <v>867682</v>
      </c>
      <c r="N85" s="28"/>
    </row>
    <row r="86" spans="2:14" x14ac:dyDescent="0.2">
      <c r="B86" s="33"/>
      <c r="C86" s="33"/>
      <c r="D86" s="33"/>
      <c r="E86" s="34" t="s">
        <v>201</v>
      </c>
      <c r="F86" s="47">
        <v>2833124</v>
      </c>
      <c r="G86" s="47">
        <v>2904134</v>
      </c>
      <c r="H86" s="39">
        <v>2890002</v>
      </c>
      <c r="I86" s="39">
        <v>2771614.59</v>
      </c>
      <c r="J86" s="39">
        <v>3189419.14</v>
      </c>
      <c r="K86" s="39">
        <v>3736636</v>
      </c>
      <c r="L86" s="39">
        <v>3224800</v>
      </c>
      <c r="M86" s="39">
        <v>3708967</v>
      </c>
      <c r="N86" s="28"/>
    </row>
    <row r="87" spans="2:14" x14ac:dyDescent="0.2">
      <c r="B87" s="33"/>
      <c r="C87" s="33"/>
      <c r="D87" s="33"/>
      <c r="E87" s="34" t="s">
        <v>179</v>
      </c>
      <c r="F87" s="47">
        <v>891219</v>
      </c>
      <c r="G87" s="47">
        <v>835350</v>
      </c>
      <c r="H87" s="39">
        <v>977489</v>
      </c>
      <c r="I87" s="39">
        <v>942774.51</v>
      </c>
      <c r="J87" s="39">
        <v>1004069.72</v>
      </c>
      <c r="K87" s="39">
        <v>998000</v>
      </c>
      <c r="L87" s="39">
        <v>1005851</v>
      </c>
      <c r="M87" s="39">
        <v>1000000</v>
      </c>
      <c r="N87" s="28"/>
    </row>
    <row r="88" spans="2:14" x14ac:dyDescent="0.2">
      <c r="B88" s="33"/>
      <c r="C88" s="33"/>
      <c r="D88" s="33"/>
      <c r="E88" s="34" t="s">
        <v>202</v>
      </c>
      <c r="F88" s="47">
        <v>22566</v>
      </c>
      <c r="G88" s="47">
        <v>20741</v>
      </c>
      <c r="H88" s="39">
        <v>21636</v>
      </c>
      <c r="I88" s="39">
        <v>19952.939999999999</v>
      </c>
      <c r="J88" s="39">
        <v>18525.240000000002</v>
      </c>
      <c r="K88" s="39">
        <v>21000</v>
      </c>
      <c r="L88" s="39">
        <v>17355</v>
      </c>
      <c r="M88" s="39">
        <v>21000</v>
      </c>
      <c r="N88" s="28"/>
    </row>
    <row r="89" spans="2:14" x14ac:dyDescent="0.2">
      <c r="B89" s="33"/>
      <c r="C89" s="33"/>
      <c r="D89" s="33"/>
      <c r="E89" s="34" t="s">
        <v>205</v>
      </c>
      <c r="F89" s="47">
        <v>1250</v>
      </c>
      <c r="G89" s="47">
        <v>1000</v>
      </c>
      <c r="H89" s="39">
        <v>1050</v>
      </c>
      <c r="I89" s="39">
        <v>1050</v>
      </c>
      <c r="J89" s="39">
        <v>700</v>
      </c>
      <c r="K89" s="39">
        <v>1250</v>
      </c>
      <c r="L89" s="39">
        <v>1750</v>
      </c>
      <c r="M89" s="39">
        <v>1750</v>
      </c>
      <c r="N89" s="28"/>
    </row>
    <row r="90" spans="2:14" x14ac:dyDescent="0.2">
      <c r="B90" s="33"/>
      <c r="C90" s="33"/>
      <c r="D90" s="33"/>
      <c r="E90" s="34" t="s">
        <v>172</v>
      </c>
      <c r="F90" s="47">
        <v>22231</v>
      </c>
      <c r="G90" s="47">
        <v>26283</v>
      </c>
      <c r="H90" s="39">
        <v>12893</v>
      </c>
      <c r="I90" s="39">
        <v>13219.46</v>
      </c>
      <c r="J90" s="39">
        <v>17543.87</v>
      </c>
      <c r="K90" s="39">
        <v>20000</v>
      </c>
      <c r="L90" s="39">
        <v>12155</v>
      </c>
      <c r="M90" s="39">
        <v>20000</v>
      </c>
      <c r="N90" s="28"/>
    </row>
    <row r="91" spans="2:14" x14ac:dyDescent="0.2">
      <c r="B91" s="33"/>
      <c r="C91" s="33"/>
      <c r="D91" s="33"/>
      <c r="E91" s="34" t="s">
        <v>196</v>
      </c>
      <c r="F91" s="47">
        <v>17300</v>
      </c>
      <c r="G91" s="47">
        <v>16800</v>
      </c>
      <c r="H91" s="39">
        <v>19750</v>
      </c>
      <c r="I91" s="39">
        <v>18000</v>
      </c>
      <c r="J91" s="39">
        <v>20921.34</v>
      </c>
      <c r="K91" s="39">
        <v>24150</v>
      </c>
      <c r="L91" s="39">
        <v>20300</v>
      </c>
      <c r="M91" s="39">
        <v>24150</v>
      </c>
      <c r="N91" s="28"/>
    </row>
    <row r="92" spans="2:14" x14ac:dyDescent="0.2">
      <c r="B92" s="33"/>
      <c r="C92" s="33"/>
      <c r="D92" s="33"/>
      <c r="E92" s="34" t="s">
        <v>203</v>
      </c>
      <c r="F92" s="47">
        <v>0</v>
      </c>
      <c r="G92" s="47">
        <v>0</v>
      </c>
      <c r="H92" s="39">
        <v>14750</v>
      </c>
      <c r="I92" s="39">
        <v>21450</v>
      </c>
      <c r="J92" s="39">
        <v>18050</v>
      </c>
      <c r="K92" s="39">
        <v>82800</v>
      </c>
      <c r="L92" s="39">
        <v>22800</v>
      </c>
      <c r="M92" s="39">
        <v>82800</v>
      </c>
      <c r="N92" s="28"/>
    </row>
    <row r="93" spans="2:14" ht="12.75" customHeight="1" x14ac:dyDescent="0.2">
      <c r="B93" s="33"/>
      <c r="C93" s="129"/>
      <c r="D93" s="288" t="s">
        <v>181</v>
      </c>
      <c r="E93" s="289"/>
      <c r="F93" s="42">
        <f t="shared" ref="F93:M93" si="18">SUM(F94:F95)</f>
        <v>185912</v>
      </c>
      <c r="G93" s="42">
        <f t="shared" si="18"/>
        <v>238549</v>
      </c>
      <c r="H93" s="42">
        <f t="shared" si="18"/>
        <v>239041</v>
      </c>
      <c r="I93" s="42">
        <f t="shared" si="18"/>
        <v>302997.89999999997</v>
      </c>
      <c r="J93" s="42">
        <f t="shared" si="18"/>
        <v>226655.65</v>
      </c>
      <c r="K93" s="42">
        <f t="shared" si="18"/>
        <v>325000</v>
      </c>
      <c r="L93" s="42">
        <f t="shared" si="18"/>
        <v>268459</v>
      </c>
      <c r="M93" s="42">
        <f t="shared" si="18"/>
        <v>325000</v>
      </c>
      <c r="N93" s="28"/>
    </row>
    <row r="94" spans="2:14" x14ac:dyDescent="0.2">
      <c r="B94" s="33"/>
      <c r="C94" s="33"/>
      <c r="D94" s="33"/>
      <c r="E94" s="34" t="s">
        <v>393</v>
      </c>
      <c r="F94" s="47">
        <v>3722</v>
      </c>
      <c r="G94" s="47">
        <v>28270</v>
      </c>
      <c r="H94" s="39">
        <v>9897</v>
      </c>
      <c r="I94" s="39">
        <v>9884.67</v>
      </c>
      <c r="J94" s="39">
        <v>1538.78</v>
      </c>
      <c r="K94" s="39">
        <v>10000</v>
      </c>
      <c r="L94" s="96">
        <v>9564</v>
      </c>
      <c r="M94" s="39">
        <v>10000</v>
      </c>
      <c r="N94" s="28"/>
    </row>
    <row r="95" spans="2:14" x14ac:dyDescent="0.2">
      <c r="B95" s="33"/>
      <c r="C95" s="33"/>
      <c r="D95" s="33"/>
      <c r="E95" s="34" t="s">
        <v>186</v>
      </c>
      <c r="F95" s="47">
        <v>182190</v>
      </c>
      <c r="G95" s="47">
        <v>210279</v>
      </c>
      <c r="H95" s="39">
        <v>229144</v>
      </c>
      <c r="I95" s="39">
        <f>292602.57+510.66</f>
        <v>293113.23</v>
      </c>
      <c r="J95" s="39">
        <v>225116.87</v>
      </c>
      <c r="K95" s="39">
        <v>315000</v>
      </c>
      <c r="L95" s="39">
        <v>258895</v>
      </c>
      <c r="M95" s="39">
        <v>315000</v>
      </c>
      <c r="N95" s="28"/>
    </row>
    <row r="96" spans="2:14" ht="12.75" customHeight="1" x14ac:dyDescent="0.2">
      <c r="B96" s="33"/>
      <c r="C96" s="129"/>
      <c r="D96" s="288" t="s">
        <v>170</v>
      </c>
      <c r="E96" s="289"/>
      <c r="F96" s="42">
        <f t="shared" ref="F96:M96" si="19">SUM(F97:F106)</f>
        <v>2737846</v>
      </c>
      <c r="G96" s="42">
        <f t="shared" si="19"/>
        <v>2828037</v>
      </c>
      <c r="H96" s="42">
        <f t="shared" si="19"/>
        <v>2855838</v>
      </c>
      <c r="I96" s="42">
        <f t="shared" si="19"/>
        <v>3314681.06</v>
      </c>
      <c r="J96" s="42">
        <f t="shared" si="19"/>
        <v>3321955.02</v>
      </c>
      <c r="K96" s="42">
        <f t="shared" si="19"/>
        <v>4159702</v>
      </c>
      <c r="L96" s="42">
        <f t="shared" si="19"/>
        <v>3600823</v>
      </c>
      <c r="M96" s="42">
        <f t="shared" si="19"/>
        <v>4918831</v>
      </c>
      <c r="N96" s="28"/>
    </row>
    <row r="97" spans="2:14" x14ac:dyDescent="0.2">
      <c r="B97" s="33"/>
      <c r="C97" s="33"/>
      <c r="D97" s="33"/>
      <c r="E97" s="34" t="s">
        <v>414</v>
      </c>
      <c r="F97" s="47">
        <v>124543</v>
      </c>
      <c r="G97" s="47">
        <v>167717</v>
      </c>
      <c r="H97" s="39">
        <v>110614</v>
      </c>
      <c r="I97" s="39">
        <f>177184.06+4353.84+375</f>
        <v>181912.9</v>
      </c>
      <c r="J97" s="39">
        <v>171412.95</v>
      </c>
      <c r="K97" s="39">
        <v>191000</v>
      </c>
      <c r="L97" s="39">
        <v>170672</v>
      </c>
      <c r="M97" s="39">
        <v>191000</v>
      </c>
      <c r="N97" s="28"/>
    </row>
    <row r="98" spans="2:14" ht="25.5" x14ac:dyDescent="0.2">
      <c r="B98" s="33"/>
      <c r="C98" s="33"/>
      <c r="D98" s="33"/>
      <c r="E98" s="34" t="s">
        <v>383</v>
      </c>
      <c r="F98" s="47">
        <v>119956</v>
      </c>
      <c r="G98" s="47">
        <v>180501</v>
      </c>
      <c r="H98" s="39">
        <v>172055</v>
      </c>
      <c r="I98" s="39">
        <f>93197.2+87098.94</f>
        <v>180296.14</v>
      </c>
      <c r="J98" s="39">
        <v>259871.16000000003</v>
      </c>
      <c r="K98" s="39">
        <v>290000</v>
      </c>
      <c r="L98" s="39">
        <v>230446</v>
      </c>
      <c r="M98" s="39">
        <v>290000</v>
      </c>
      <c r="N98" s="28"/>
    </row>
    <row r="99" spans="2:14" x14ac:dyDescent="0.2">
      <c r="B99" s="33"/>
      <c r="C99" s="33"/>
      <c r="D99" s="33"/>
      <c r="E99" s="34" t="s">
        <v>396</v>
      </c>
      <c r="F99" s="47">
        <v>11640</v>
      </c>
      <c r="G99" s="47">
        <v>9076</v>
      </c>
      <c r="H99" s="39">
        <v>16314</v>
      </c>
      <c r="I99" s="39">
        <f>5648.67</f>
        <v>5648.67</v>
      </c>
      <c r="J99" s="39">
        <v>16355.859999999999</v>
      </c>
      <c r="K99" s="39">
        <v>28800</v>
      </c>
      <c r="L99" s="39">
        <v>18580</v>
      </c>
      <c r="M99" s="39">
        <v>79000</v>
      </c>
      <c r="N99" s="28"/>
    </row>
    <row r="100" spans="2:14" ht="25.5" x14ac:dyDescent="0.2">
      <c r="B100" s="33"/>
      <c r="C100" s="33"/>
      <c r="D100" s="33"/>
      <c r="E100" s="34" t="s">
        <v>415</v>
      </c>
      <c r="F100" s="47">
        <v>2078612</v>
      </c>
      <c r="G100" s="47">
        <v>1880881</v>
      </c>
      <c r="H100" s="39">
        <v>1919347</v>
      </c>
      <c r="I100" s="39">
        <f>34781.73+481.38+3366+24075.04+107911.87+121916.69+35331.9+624890.12+977221.99+465950.93</f>
        <v>2395927.65</v>
      </c>
      <c r="J100" s="39">
        <v>2230015.8899999997</v>
      </c>
      <c r="K100" s="39">
        <v>3031783</v>
      </c>
      <c r="L100" s="39">
        <v>2594130</v>
      </c>
      <c r="M100" s="39">
        <v>3680725</v>
      </c>
      <c r="N100" s="28"/>
    </row>
    <row r="101" spans="2:14" ht="25.5" x14ac:dyDescent="0.2">
      <c r="B101" s="33"/>
      <c r="C101" s="33"/>
      <c r="D101" s="33"/>
      <c r="E101" s="34" t="s">
        <v>397</v>
      </c>
      <c r="F101" s="47">
        <v>14817</v>
      </c>
      <c r="G101" s="47">
        <v>3022</v>
      </c>
      <c r="H101" s="39">
        <v>7804</v>
      </c>
      <c r="I101" s="39">
        <f>4354.37+6561.85</f>
        <v>10916.220000000001</v>
      </c>
      <c r="J101" s="39">
        <v>7695.6900000000005</v>
      </c>
      <c r="K101" s="39">
        <v>14000</v>
      </c>
      <c r="L101" s="39">
        <v>7508</v>
      </c>
      <c r="M101" s="39">
        <v>14500</v>
      </c>
      <c r="N101" s="28"/>
    </row>
    <row r="102" spans="2:14" x14ac:dyDescent="0.2">
      <c r="B102" s="33"/>
      <c r="C102" s="33"/>
      <c r="D102" s="33"/>
      <c r="E102" s="34" t="s">
        <v>416</v>
      </c>
      <c r="F102" s="47">
        <v>5235</v>
      </c>
      <c r="G102" s="47">
        <v>5537</v>
      </c>
      <c r="H102" s="39">
        <v>3708</v>
      </c>
      <c r="I102" s="39">
        <v>4650.8999999999996</v>
      </c>
      <c r="J102" s="39">
        <v>5613</v>
      </c>
      <c r="K102" s="39">
        <v>5200</v>
      </c>
      <c r="L102" s="39">
        <v>5200</v>
      </c>
      <c r="M102" s="39">
        <v>5200</v>
      </c>
      <c r="N102" s="28"/>
    </row>
    <row r="103" spans="2:14" x14ac:dyDescent="0.2">
      <c r="B103" s="33"/>
      <c r="C103" s="33"/>
      <c r="D103" s="33"/>
      <c r="E103" s="34" t="s">
        <v>410</v>
      </c>
      <c r="F103" s="47">
        <v>343298</v>
      </c>
      <c r="G103" s="47">
        <v>491542</v>
      </c>
      <c r="H103" s="39">
        <v>549796</v>
      </c>
      <c r="I103" s="39">
        <f>24502.08+396591.15+332.45+17490.42</f>
        <v>438916.10000000003</v>
      </c>
      <c r="J103" s="39">
        <v>545829</v>
      </c>
      <c r="K103" s="39">
        <v>538600</v>
      </c>
      <c r="L103" s="39">
        <v>517863</v>
      </c>
      <c r="M103" s="39">
        <v>594896</v>
      </c>
      <c r="N103" s="28"/>
    </row>
    <row r="104" spans="2:14" x14ac:dyDescent="0.2">
      <c r="B104" s="33"/>
      <c r="C104" s="33"/>
      <c r="D104" s="33"/>
      <c r="E104" s="34" t="s">
        <v>167</v>
      </c>
      <c r="F104" s="47">
        <v>38087</v>
      </c>
      <c r="G104" s="47">
        <v>81515</v>
      </c>
      <c r="H104" s="39">
        <v>0</v>
      </c>
      <c r="I104" s="39">
        <v>0</v>
      </c>
      <c r="J104" s="39">
        <v>0</v>
      </c>
      <c r="K104" s="39">
        <v>0</v>
      </c>
      <c r="L104" s="39">
        <v>0</v>
      </c>
      <c r="M104" s="39">
        <v>0</v>
      </c>
      <c r="N104" s="28"/>
    </row>
    <row r="105" spans="2:14" x14ac:dyDescent="0.2">
      <c r="B105" s="33"/>
      <c r="C105" s="33"/>
      <c r="D105" s="33"/>
      <c r="E105" s="34" t="s">
        <v>417</v>
      </c>
      <c r="F105" s="47">
        <v>1658</v>
      </c>
      <c r="G105" s="47">
        <v>8246</v>
      </c>
      <c r="H105" s="39">
        <v>2052</v>
      </c>
      <c r="I105" s="39">
        <f>360+450</f>
        <v>810</v>
      </c>
      <c r="J105" s="39">
        <v>9087.4699999999993</v>
      </c>
      <c r="K105" s="39">
        <v>10800</v>
      </c>
      <c r="L105" s="39">
        <v>4451</v>
      </c>
      <c r="M105" s="39">
        <v>11300</v>
      </c>
      <c r="N105" s="28"/>
    </row>
    <row r="106" spans="2:14" x14ac:dyDescent="0.2">
      <c r="B106" s="33"/>
      <c r="C106" s="33"/>
      <c r="D106" s="33"/>
      <c r="E106" s="34" t="s">
        <v>175</v>
      </c>
      <c r="F106" s="47">
        <v>0</v>
      </c>
      <c r="G106" s="47">
        <v>0</v>
      </c>
      <c r="H106" s="39">
        <v>74148</v>
      </c>
      <c r="I106" s="39">
        <v>95602.48</v>
      </c>
      <c r="J106" s="39">
        <v>76074</v>
      </c>
      <c r="K106" s="39">
        <v>49519</v>
      </c>
      <c r="L106" s="39">
        <v>51973</v>
      </c>
      <c r="M106" s="39">
        <v>52210</v>
      </c>
      <c r="N106" s="28"/>
    </row>
    <row r="107" spans="2:14" x14ac:dyDescent="0.2">
      <c r="B107" s="287" t="s">
        <v>223</v>
      </c>
      <c r="C107" s="287"/>
      <c r="D107" s="287"/>
      <c r="E107" s="287"/>
      <c r="F107" s="40">
        <f t="shared" ref="F107:M107" si="20">SUM(F108:F117)</f>
        <v>6203003.4500000002</v>
      </c>
      <c r="G107" s="40">
        <f t="shared" si="20"/>
        <v>6452088.9299999997</v>
      </c>
      <c r="H107" s="40">
        <f t="shared" si="20"/>
        <v>7175073.6200000001</v>
      </c>
      <c r="I107" s="40">
        <f t="shared" si="20"/>
        <v>6752617.1499999994</v>
      </c>
      <c r="J107" s="40">
        <f t="shared" si="20"/>
        <v>7463787.79</v>
      </c>
      <c r="K107" s="40">
        <f t="shared" si="20"/>
        <v>8011360</v>
      </c>
      <c r="L107" s="40">
        <f t="shared" si="20"/>
        <v>8027646</v>
      </c>
      <c r="M107" s="40">
        <f t="shared" si="20"/>
        <v>9546151</v>
      </c>
    </row>
    <row r="108" spans="2:14" x14ac:dyDescent="0.2">
      <c r="B108" s="133"/>
      <c r="C108" s="133"/>
      <c r="D108" s="133"/>
      <c r="E108" s="33" t="s">
        <v>226</v>
      </c>
      <c r="F108" s="104">
        <v>31771.54</v>
      </c>
      <c r="G108" s="104">
        <v>27252</v>
      </c>
      <c r="H108" s="104">
        <v>0</v>
      </c>
      <c r="I108" s="104">
        <v>24699</v>
      </c>
      <c r="J108" s="104">
        <v>23390</v>
      </c>
      <c r="K108" s="39">
        <v>30000</v>
      </c>
      <c r="L108" s="104">
        <v>22071</v>
      </c>
      <c r="M108" s="39">
        <v>30000</v>
      </c>
    </row>
    <row r="109" spans="2:14" x14ac:dyDescent="0.2">
      <c r="B109" s="133"/>
      <c r="C109" s="133"/>
      <c r="D109" s="133"/>
      <c r="E109" s="33" t="s">
        <v>304</v>
      </c>
      <c r="F109" s="104">
        <v>0</v>
      </c>
      <c r="G109" s="104">
        <v>0</v>
      </c>
      <c r="H109" s="104">
        <v>0</v>
      </c>
      <c r="I109" s="104">
        <v>0</v>
      </c>
      <c r="J109" s="104">
        <v>456851</v>
      </c>
      <c r="K109" s="39">
        <v>0</v>
      </c>
      <c r="L109" s="104">
        <v>0</v>
      </c>
      <c r="M109" s="39">
        <v>0</v>
      </c>
    </row>
    <row r="110" spans="2:14" x14ac:dyDescent="0.2">
      <c r="B110" s="133"/>
      <c r="C110" s="133"/>
      <c r="D110" s="133"/>
      <c r="E110" s="33" t="s">
        <v>305</v>
      </c>
      <c r="F110" s="104">
        <v>50000.02</v>
      </c>
      <c r="G110" s="104">
        <v>50416.67</v>
      </c>
      <c r="H110" s="104">
        <v>49853.120000000003</v>
      </c>
      <c r="I110" s="104">
        <v>41666.68</v>
      </c>
      <c r="J110" s="104">
        <v>58333.24</v>
      </c>
      <c r="K110" s="39">
        <v>50000</v>
      </c>
      <c r="L110" s="104">
        <v>50004</v>
      </c>
      <c r="M110" s="39">
        <v>1000000</v>
      </c>
    </row>
    <row r="111" spans="2:14" x14ac:dyDescent="0.2">
      <c r="B111" s="133"/>
      <c r="C111" s="133"/>
      <c r="D111" s="133"/>
      <c r="E111" s="33" t="s">
        <v>233</v>
      </c>
      <c r="F111" s="104">
        <v>255576.76</v>
      </c>
      <c r="G111" s="104">
        <v>321916.84000000003</v>
      </c>
      <c r="H111" s="104">
        <v>317892.24</v>
      </c>
      <c r="I111" s="104">
        <v>285981.11</v>
      </c>
      <c r="J111" s="104">
        <v>353771.64</v>
      </c>
      <c r="K111" s="39">
        <v>400000</v>
      </c>
      <c r="L111" s="104">
        <v>338394</v>
      </c>
      <c r="M111" s="39">
        <v>400000</v>
      </c>
    </row>
    <row r="112" spans="2:14" x14ac:dyDescent="0.2">
      <c r="B112" s="133"/>
      <c r="C112" s="133"/>
      <c r="D112" s="133"/>
      <c r="E112" s="65" t="s">
        <v>264</v>
      </c>
      <c r="F112" s="104">
        <v>501271.24</v>
      </c>
      <c r="G112" s="104">
        <v>732836.47</v>
      </c>
      <c r="H112" s="104">
        <v>610791.06999999995</v>
      </c>
      <c r="I112" s="104">
        <v>579488.42000000004</v>
      </c>
      <c r="J112" s="104">
        <v>615485</v>
      </c>
      <c r="K112" s="39">
        <v>720644</v>
      </c>
      <c r="L112" s="104">
        <v>784901</v>
      </c>
      <c r="M112" s="39">
        <v>833489</v>
      </c>
    </row>
    <row r="113" spans="2:13" x14ac:dyDescent="0.2">
      <c r="B113" s="133"/>
      <c r="C113" s="133"/>
      <c r="D113" s="133"/>
      <c r="E113" s="65" t="s">
        <v>335</v>
      </c>
      <c r="F113" s="104">
        <v>400445.83</v>
      </c>
      <c r="G113" s="104">
        <v>382991.27</v>
      </c>
      <c r="H113" s="104">
        <v>396618.83</v>
      </c>
      <c r="I113" s="104">
        <v>403162.53</v>
      </c>
      <c r="J113" s="104">
        <v>440999.38</v>
      </c>
      <c r="K113" s="39">
        <v>536062</v>
      </c>
      <c r="L113" s="104">
        <v>448000</v>
      </c>
      <c r="M113" s="39">
        <v>500000</v>
      </c>
    </row>
    <row r="114" spans="2:13" x14ac:dyDescent="0.2">
      <c r="B114" s="133"/>
      <c r="C114" s="133"/>
      <c r="D114" s="133"/>
      <c r="E114" s="65" t="s">
        <v>336</v>
      </c>
      <c r="F114" s="104">
        <v>462624.79</v>
      </c>
      <c r="G114" s="104">
        <v>876595.85</v>
      </c>
      <c r="H114" s="104">
        <v>1104001.72</v>
      </c>
      <c r="I114" s="104">
        <v>680473.39</v>
      </c>
      <c r="J114" s="104">
        <v>131443.53</v>
      </c>
      <c r="K114" s="39">
        <v>750000</v>
      </c>
      <c r="L114" s="104">
        <v>700000</v>
      </c>
      <c r="M114" s="39">
        <v>750000</v>
      </c>
    </row>
    <row r="115" spans="2:13" x14ac:dyDescent="0.2">
      <c r="B115" s="133"/>
      <c r="C115" s="133"/>
      <c r="D115" s="133"/>
      <c r="E115" s="65" t="s">
        <v>337</v>
      </c>
      <c r="F115" s="104">
        <v>1893719.01</v>
      </c>
      <c r="G115" s="104">
        <v>1725579.83</v>
      </c>
      <c r="H115" s="104">
        <v>2245767.7000000002</v>
      </c>
      <c r="I115" s="104">
        <v>2433289.67</v>
      </c>
      <c r="J115" s="104">
        <v>2577504</v>
      </c>
      <c r="K115" s="39">
        <v>2699654</v>
      </c>
      <c r="L115" s="104">
        <v>2859276</v>
      </c>
      <c r="M115" s="39">
        <v>3207662</v>
      </c>
    </row>
    <row r="116" spans="2:13" x14ac:dyDescent="0.2">
      <c r="B116" s="133"/>
      <c r="C116" s="133"/>
      <c r="D116" s="133"/>
      <c r="E116" s="65" t="s">
        <v>338</v>
      </c>
      <c r="F116" s="104">
        <f>304394.26+3200</f>
        <v>307594.26</v>
      </c>
      <c r="G116" s="104">
        <v>34500</v>
      </c>
      <c r="H116" s="104">
        <v>150148.94</v>
      </c>
      <c r="I116" s="104">
        <v>3856.35</v>
      </c>
      <c r="J116" s="104">
        <v>6010</v>
      </c>
      <c r="K116" s="39">
        <v>25000</v>
      </c>
      <c r="L116" s="104">
        <v>25000</v>
      </c>
      <c r="M116" s="39">
        <v>25000</v>
      </c>
    </row>
    <row r="117" spans="2:13" x14ac:dyDescent="0.2">
      <c r="B117" s="133"/>
      <c r="C117" s="133"/>
      <c r="D117" s="133"/>
      <c r="E117" s="33" t="s">
        <v>306</v>
      </c>
      <c r="F117" s="104">
        <v>2300000</v>
      </c>
      <c r="G117" s="104">
        <v>2300000</v>
      </c>
      <c r="H117" s="104">
        <v>2300000</v>
      </c>
      <c r="I117" s="104">
        <v>2300000</v>
      </c>
      <c r="J117" s="104">
        <v>2800000</v>
      </c>
      <c r="K117" s="39">
        <v>2800000</v>
      </c>
      <c r="L117" s="104">
        <v>2800000</v>
      </c>
      <c r="M117" s="39">
        <v>2800000</v>
      </c>
    </row>
    <row r="118" spans="2:13" x14ac:dyDescent="0.2">
      <c r="B118" s="287" t="s">
        <v>307</v>
      </c>
      <c r="C118" s="287"/>
      <c r="D118" s="287"/>
      <c r="E118" s="287"/>
      <c r="F118" s="40">
        <f t="shared" ref="F118:M118" si="21">SUM(F119:F120)</f>
        <v>6976130</v>
      </c>
      <c r="G118" s="40">
        <f t="shared" si="21"/>
        <v>8486324</v>
      </c>
      <c r="H118" s="40">
        <f t="shared" si="21"/>
        <v>9222437</v>
      </c>
      <c r="I118" s="40">
        <f t="shared" si="21"/>
        <v>8236295</v>
      </c>
      <c r="J118" s="40">
        <f t="shared" si="21"/>
        <v>1278267</v>
      </c>
      <c r="K118" s="40">
        <f t="shared" si="21"/>
        <v>7283929</v>
      </c>
      <c r="L118" s="40">
        <f t="shared" si="21"/>
        <v>6947757</v>
      </c>
      <c r="M118" s="40">
        <f t="shared" si="21"/>
        <v>6971623</v>
      </c>
    </row>
    <row r="119" spans="2:13" x14ac:dyDescent="0.2">
      <c r="B119" s="133"/>
      <c r="C119" s="133"/>
      <c r="D119" s="133"/>
      <c r="E119" s="33" t="s">
        <v>285</v>
      </c>
      <c r="F119" s="104">
        <v>5288130</v>
      </c>
      <c r="G119" s="104">
        <v>4924324</v>
      </c>
      <c r="H119" s="104">
        <v>5172437</v>
      </c>
      <c r="I119" s="104">
        <v>5532295</v>
      </c>
      <c r="J119" s="104">
        <v>1278267</v>
      </c>
      <c r="K119" s="39">
        <v>5688929</v>
      </c>
      <c r="L119" s="104">
        <v>5352757</v>
      </c>
      <c r="M119" s="39">
        <v>5826623</v>
      </c>
    </row>
    <row r="120" spans="2:13" x14ac:dyDescent="0.2">
      <c r="B120" s="133"/>
      <c r="C120" s="133"/>
      <c r="D120" s="133"/>
      <c r="E120" s="33" t="s">
        <v>308</v>
      </c>
      <c r="F120" s="104">
        <v>1688000</v>
      </c>
      <c r="G120" s="104">
        <v>3562000</v>
      </c>
      <c r="H120" s="104">
        <v>4050000</v>
      </c>
      <c r="I120" s="104">
        <v>2704000</v>
      </c>
      <c r="J120" s="104">
        <v>0</v>
      </c>
      <c r="K120" s="39">
        <v>1595000</v>
      </c>
      <c r="L120" s="104">
        <v>1595000</v>
      </c>
      <c r="M120" s="39">
        <v>1145000</v>
      </c>
    </row>
  </sheetData>
  <mergeCells count="47">
    <mergeCell ref="D74:E74"/>
    <mergeCell ref="C73:E73"/>
    <mergeCell ref="B22:E22"/>
    <mergeCell ref="B17:E17"/>
    <mergeCell ref="D47:E47"/>
    <mergeCell ref="D51:E51"/>
    <mergeCell ref="C50:E50"/>
    <mergeCell ref="C40:E40"/>
    <mergeCell ref="A25:E25"/>
    <mergeCell ref="D28:E28"/>
    <mergeCell ref="C27:E27"/>
    <mergeCell ref="D33:E33"/>
    <mergeCell ref="D35:E35"/>
    <mergeCell ref="B107:E107"/>
    <mergeCell ref="B118:E118"/>
    <mergeCell ref="B24:E24"/>
    <mergeCell ref="B21:E21"/>
    <mergeCell ref="B20:E20"/>
    <mergeCell ref="B23:E23"/>
    <mergeCell ref="D80:E80"/>
    <mergeCell ref="C83:E83"/>
    <mergeCell ref="D84:E84"/>
    <mergeCell ref="D93:E93"/>
    <mergeCell ref="D96:E96"/>
    <mergeCell ref="D64:E64"/>
    <mergeCell ref="D61:E61"/>
    <mergeCell ref="D41:E41"/>
    <mergeCell ref="D45:E45"/>
    <mergeCell ref="D78:E78"/>
    <mergeCell ref="B11:E11"/>
    <mergeCell ref="B12:E12"/>
    <mergeCell ref="B19:E19"/>
    <mergeCell ref="B18:E18"/>
    <mergeCell ref="B13:E13"/>
    <mergeCell ref="B14:E14"/>
    <mergeCell ref="B15:E15"/>
    <mergeCell ref="B16:E16"/>
    <mergeCell ref="B6:E6"/>
    <mergeCell ref="B7:E7"/>
    <mergeCell ref="B8:E8"/>
    <mergeCell ref="B9:E9"/>
    <mergeCell ref="B10:E10"/>
    <mergeCell ref="A1:E1"/>
    <mergeCell ref="A2:E2"/>
    <mergeCell ref="B3:E3"/>
    <mergeCell ref="B4:E4"/>
    <mergeCell ref="B5:E5"/>
  </mergeCells>
  <conditionalFormatting sqref="F1:J28 K1:M106 H29:J73 F33:G33 F35:G35 F40:G41 F45:G45 F47:G47 F50:G51 F61:G61 F64:G64 F73:G73 F74:J74 H75:J106 F78:G78 F80:G80 F83:G84 F93:G93 F96:G96 K108:K117 M108:M117 K119:K120 M119:M120">
    <cfRule type="cellIs" dxfId="11" priority="2" operator="lessThan">
      <formula>0</formula>
    </cfRule>
  </conditionalFormatting>
  <pageMargins left="0" right="0" top="0" bottom="0" header="0.3" footer="0.3"/>
  <pageSetup scale="5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070E4-329B-4E38-ADF7-3BD057EAAA56}">
  <sheetPr>
    <pageSetUpPr fitToPage="1"/>
  </sheetPr>
  <dimension ref="A1:AY42"/>
  <sheetViews>
    <sheetView zoomScale="90" zoomScaleNormal="90" workbookViewId="0">
      <pane ySplit="1" topLeftCell="A2" activePane="bottomLeft" state="frozen"/>
      <selection activeCell="N153" sqref="N153"/>
      <selection pane="bottomLeft" activeCell="D34" sqref="D34"/>
    </sheetView>
  </sheetViews>
  <sheetFormatPr defaultColWidth="9.33203125" defaultRowHeight="12.75" x14ac:dyDescent="0.2"/>
  <cols>
    <col min="1" max="3" width="5" style="12" customWidth="1"/>
    <col min="4" max="4" width="50.5" style="12" customWidth="1"/>
    <col min="5" max="12" width="17" style="12" customWidth="1"/>
    <col min="13" max="16384" width="9.33203125" style="12"/>
  </cols>
  <sheetData>
    <row r="1" spans="1:51" s="25" customFormat="1" ht="25.5" x14ac:dyDescent="0.2">
      <c r="A1" s="298" t="s">
        <v>421</v>
      </c>
      <c r="B1" s="298"/>
      <c r="C1" s="298"/>
      <c r="D1" s="298"/>
      <c r="E1" s="27" t="s">
        <v>0</v>
      </c>
      <c r="F1" s="27" t="s">
        <v>1</v>
      </c>
      <c r="G1" s="27" t="s">
        <v>2</v>
      </c>
      <c r="H1" s="27" t="s">
        <v>3</v>
      </c>
      <c r="I1" s="144" t="s">
        <v>315</v>
      </c>
      <c r="J1" s="144" t="s">
        <v>527</v>
      </c>
      <c r="K1" s="144" t="s">
        <v>529</v>
      </c>
      <c r="L1" s="144" t="s">
        <v>528</v>
      </c>
      <c r="M1" s="23"/>
      <c r="N1" s="23"/>
      <c r="O1" s="23"/>
      <c r="P1" s="23"/>
      <c r="Q1" s="23"/>
      <c r="R1" s="23"/>
      <c r="S1" s="23"/>
      <c r="T1" s="23"/>
      <c r="U1" s="23"/>
      <c r="V1" s="23"/>
      <c r="W1" s="23"/>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row>
    <row r="2" spans="1:51" s="25" customFormat="1" x14ac:dyDescent="0.2">
      <c r="A2" s="299" t="s">
        <v>4</v>
      </c>
      <c r="B2" s="299"/>
      <c r="C2" s="299"/>
      <c r="D2" s="299"/>
      <c r="E2" s="26">
        <f t="shared" ref="E2:L2" si="0">SUM(E3:E6)</f>
        <v>5185581</v>
      </c>
      <c r="F2" s="26">
        <f t="shared" si="0"/>
        <v>5212891</v>
      </c>
      <c r="G2" s="26">
        <f t="shared" si="0"/>
        <v>5364040</v>
      </c>
      <c r="H2" s="26">
        <f t="shared" si="0"/>
        <v>5372202.8599999994</v>
      </c>
      <c r="I2" s="26">
        <f t="shared" si="0"/>
        <v>6898650.3099999996</v>
      </c>
      <c r="J2" s="26">
        <f t="shared" si="0"/>
        <v>7483800</v>
      </c>
      <c r="K2" s="26">
        <f t="shared" si="0"/>
        <v>6860000</v>
      </c>
      <c r="L2" s="26">
        <f t="shared" si="0"/>
        <v>8966902</v>
      </c>
      <c r="M2" s="23"/>
      <c r="N2" s="23"/>
      <c r="O2" s="23"/>
      <c r="P2" s="23"/>
      <c r="Q2" s="23"/>
      <c r="R2" s="23"/>
      <c r="S2" s="23"/>
      <c r="T2" s="23"/>
      <c r="U2" s="23"/>
      <c r="V2" s="23"/>
      <c r="W2" s="23"/>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row>
    <row r="3" spans="1:51" ht="14.1" customHeight="1" x14ac:dyDescent="0.2">
      <c r="A3" s="166"/>
      <c r="B3" s="300" t="s">
        <v>6</v>
      </c>
      <c r="C3" s="300"/>
      <c r="D3" s="300"/>
      <c r="E3" s="228">
        <v>0</v>
      </c>
      <c r="F3" s="52">
        <v>0</v>
      </c>
      <c r="G3" s="51">
        <v>0</v>
      </c>
      <c r="H3" s="51">
        <v>0</v>
      </c>
      <c r="I3" s="51">
        <v>0</v>
      </c>
      <c r="J3" s="51">
        <v>728800</v>
      </c>
      <c r="K3" s="51">
        <v>0</v>
      </c>
      <c r="L3" s="51">
        <v>2086902</v>
      </c>
      <c r="M3" s="24"/>
      <c r="N3" s="24"/>
      <c r="O3" s="24"/>
      <c r="P3" s="24"/>
    </row>
    <row r="4" spans="1:51" ht="14.1" customHeight="1" x14ac:dyDescent="0.2">
      <c r="A4" s="166"/>
      <c r="B4" s="266" t="s">
        <v>302</v>
      </c>
      <c r="C4" s="266"/>
      <c r="D4" s="266"/>
      <c r="E4" s="229">
        <v>0</v>
      </c>
      <c r="F4" s="50">
        <v>0</v>
      </c>
      <c r="G4" s="51">
        <v>0</v>
      </c>
      <c r="H4" s="51">
        <v>0</v>
      </c>
      <c r="I4" s="51">
        <v>0</v>
      </c>
      <c r="J4" s="51">
        <v>0</v>
      </c>
      <c r="K4" s="51">
        <v>0</v>
      </c>
      <c r="L4" s="51">
        <v>0</v>
      </c>
      <c r="M4" s="24"/>
      <c r="N4" s="24"/>
      <c r="O4" s="24"/>
      <c r="P4" s="24"/>
    </row>
    <row r="5" spans="1:51" ht="14.1" customHeight="1" x14ac:dyDescent="0.2">
      <c r="A5" s="166"/>
      <c r="B5" s="300" t="s">
        <v>314</v>
      </c>
      <c r="C5" s="300"/>
      <c r="D5" s="300"/>
      <c r="E5" s="230">
        <v>5096025</v>
      </c>
      <c r="F5" s="52">
        <v>5139779</v>
      </c>
      <c r="G5" s="51">
        <v>5312406</v>
      </c>
      <c r="H5" s="51">
        <v>5343499.6399999997</v>
      </c>
      <c r="I5" s="51">
        <v>6814334</v>
      </c>
      <c r="J5" s="51">
        <v>6700000</v>
      </c>
      <c r="K5" s="51">
        <v>6800000</v>
      </c>
      <c r="L5" s="51">
        <v>6800000</v>
      </c>
      <c r="M5" s="24"/>
      <c r="N5" s="24"/>
      <c r="O5" s="24"/>
      <c r="P5" s="24"/>
    </row>
    <row r="6" spans="1:51" ht="14.1" customHeight="1" x14ac:dyDescent="0.2">
      <c r="A6" s="166"/>
      <c r="B6" s="300" t="s">
        <v>293</v>
      </c>
      <c r="C6" s="300"/>
      <c r="D6" s="300"/>
      <c r="E6" s="230">
        <v>89556</v>
      </c>
      <c r="F6" s="52">
        <v>73112</v>
      </c>
      <c r="G6" s="53">
        <v>51634</v>
      </c>
      <c r="H6" s="53">
        <v>28703.22</v>
      </c>
      <c r="I6" s="53">
        <v>84316.31</v>
      </c>
      <c r="J6" s="53">
        <v>55000</v>
      </c>
      <c r="K6" s="53">
        <v>60000</v>
      </c>
      <c r="L6" s="53">
        <v>80000</v>
      </c>
      <c r="M6" s="23"/>
      <c r="N6" s="23"/>
      <c r="O6" s="23"/>
      <c r="P6" s="20"/>
    </row>
    <row r="7" spans="1:51" ht="14.1" customHeight="1" x14ac:dyDescent="0.2">
      <c r="A7" s="259" t="s">
        <v>156</v>
      </c>
      <c r="B7" s="259"/>
      <c r="C7" s="259"/>
      <c r="D7" s="259"/>
      <c r="E7" s="22">
        <v>6392915.6600000001</v>
      </c>
      <c r="F7" s="22">
        <v>5567715.25</v>
      </c>
      <c r="G7" s="22">
        <v>8059364.3899999997</v>
      </c>
      <c r="H7" s="22">
        <v>6661420.5499999989</v>
      </c>
      <c r="I7" s="22">
        <f t="shared" ref="I7:L7" si="1">I8+I32+I40</f>
        <v>4654857.12</v>
      </c>
      <c r="J7" s="22">
        <f t="shared" si="1"/>
        <v>7483800</v>
      </c>
      <c r="K7" s="22">
        <f t="shared" si="1"/>
        <v>7414550</v>
      </c>
      <c r="L7" s="22">
        <f t="shared" si="1"/>
        <v>8966902</v>
      </c>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row>
    <row r="8" spans="1:51" ht="14.1" customHeight="1" x14ac:dyDescent="0.2">
      <c r="A8" s="167"/>
      <c r="B8" s="297" t="s">
        <v>422</v>
      </c>
      <c r="C8" s="297"/>
      <c r="D8" s="297"/>
      <c r="E8" s="29">
        <f t="shared" ref="E8:L8" si="2">E9+E20</f>
        <v>2878814</v>
      </c>
      <c r="F8" s="29">
        <f t="shared" si="2"/>
        <v>2956185</v>
      </c>
      <c r="G8" s="29">
        <f t="shared" si="2"/>
        <v>3483628</v>
      </c>
      <c r="H8" s="29">
        <f t="shared" si="2"/>
        <v>3247621.9599999995</v>
      </c>
      <c r="I8" s="29">
        <f t="shared" si="2"/>
        <v>3238904.95</v>
      </c>
      <c r="J8" s="29">
        <f t="shared" si="2"/>
        <v>3828929</v>
      </c>
      <c r="K8" s="29">
        <f t="shared" si="2"/>
        <v>3734135</v>
      </c>
      <c r="L8" s="29">
        <f t="shared" si="2"/>
        <v>4814513</v>
      </c>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row>
    <row r="9" spans="1:51" ht="14.1" customHeight="1" x14ac:dyDescent="0.2">
      <c r="A9" s="166"/>
      <c r="B9" s="130"/>
      <c r="C9" s="301" t="s">
        <v>159</v>
      </c>
      <c r="D9" s="301"/>
      <c r="E9" s="29">
        <f t="shared" ref="E9:L9" si="3">SUM(E10:E19)</f>
        <v>1938386</v>
      </c>
      <c r="F9" s="29">
        <f t="shared" si="3"/>
        <v>2035755</v>
      </c>
      <c r="G9" s="29">
        <f t="shared" si="3"/>
        <v>2283460</v>
      </c>
      <c r="H9" s="29">
        <f t="shared" si="3"/>
        <v>2182272.7499999995</v>
      </c>
      <c r="I9" s="29">
        <f t="shared" si="3"/>
        <v>2138567.4300000002</v>
      </c>
      <c r="J9" s="29">
        <f t="shared" si="3"/>
        <v>2355724</v>
      </c>
      <c r="K9" s="29">
        <f t="shared" si="3"/>
        <v>2120830</v>
      </c>
      <c r="L9" s="29">
        <f t="shared" si="3"/>
        <v>2394258</v>
      </c>
      <c r="M9" s="21"/>
      <c r="N9" s="21"/>
      <c r="O9" s="21"/>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row>
    <row r="10" spans="1:51" ht="14.1" customHeight="1" x14ac:dyDescent="0.2">
      <c r="A10" s="166"/>
      <c r="B10" s="18"/>
      <c r="C10" s="18"/>
      <c r="D10" s="17" t="s">
        <v>160</v>
      </c>
      <c r="E10" s="16">
        <v>256393</v>
      </c>
      <c r="F10" s="16">
        <v>228648</v>
      </c>
      <c r="G10" s="15">
        <v>374094</v>
      </c>
      <c r="H10" s="15">
        <v>300272.57</v>
      </c>
      <c r="I10" s="15">
        <v>285933.51</v>
      </c>
      <c r="J10" s="15">
        <v>297614</v>
      </c>
      <c r="K10" s="15">
        <v>295949</v>
      </c>
      <c r="L10" s="15">
        <v>297186</v>
      </c>
      <c r="M10" s="14"/>
      <c r="N10" s="14"/>
      <c r="O10" s="14"/>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row>
    <row r="11" spans="1:51" ht="14.1" customHeight="1" x14ac:dyDescent="0.2">
      <c r="A11" s="166"/>
      <c r="B11" s="18"/>
      <c r="C11" s="18"/>
      <c r="D11" s="17" t="s">
        <v>201</v>
      </c>
      <c r="E11" s="16">
        <v>1350648</v>
      </c>
      <c r="F11" s="16">
        <v>1476121</v>
      </c>
      <c r="G11" s="15">
        <v>1470933</v>
      </c>
      <c r="H11" s="15">
        <v>1435763.18</v>
      </c>
      <c r="I11" s="15">
        <v>1367721.25</v>
      </c>
      <c r="J11" s="15">
        <v>1626310</v>
      </c>
      <c r="K11" s="15">
        <v>1376881</v>
      </c>
      <c r="L11" s="15">
        <v>1660472</v>
      </c>
      <c r="M11" s="14"/>
      <c r="N11" s="14"/>
      <c r="O11" s="14"/>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row>
    <row r="12" spans="1:51" ht="14.1" customHeight="1" x14ac:dyDescent="0.2">
      <c r="A12" s="166"/>
      <c r="B12" s="18"/>
      <c r="C12" s="18"/>
      <c r="D12" s="17" t="s">
        <v>179</v>
      </c>
      <c r="E12" s="16">
        <v>328423</v>
      </c>
      <c r="F12" s="16">
        <v>377181</v>
      </c>
      <c r="G12" s="15">
        <v>438068</v>
      </c>
      <c r="H12" s="15">
        <v>437328.31</v>
      </c>
      <c r="I12" s="15">
        <v>450030.19</v>
      </c>
      <c r="J12" s="15">
        <v>475000</v>
      </c>
      <c r="K12" s="15">
        <v>468000</v>
      </c>
      <c r="L12" s="15">
        <v>455000</v>
      </c>
      <c r="M12" s="14"/>
      <c r="N12" s="14"/>
      <c r="O12" s="14"/>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row>
    <row r="13" spans="1:51" ht="14.1" customHeight="1" x14ac:dyDescent="0.2">
      <c r="A13" s="166"/>
      <c r="B13" s="18"/>
      <c r="C13" s="18"/>
      <c r="D13" s="17" t="s">
        <v>202</v>
      </c>
      <c r="E13" s="16">
        <v>3550</v>
      </c>
      <c r="F13" s="16">
        <v>5634</v>
      </c>
      <c r="G13" s="15">
        <v>3863</v>
      </c>
      <c r="H13" s="15">
        <v>3165.55</v>
      </c>
      <c r="I13" s="15">
        <v>3742.97</v>
      </c>
      <c r="J13" s="15">
        <v>1000</v>
      </c>
      <c r="K13" s="15">
        <v>3500</v>
      </c>
      <c r="L13" s="15">
        <v>3600</v>
      </c>
      <c r="M13" s="14"/>
      <c r="N13" s="14"/>
      <c r="O13" s="14"/>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row>
    <row r="14" spans="1:51" ht="14.1" customHeight="1" x14ac:dyDescent="0.2">
      <c r="A14" s="166"/>
      <c r="B14" s="18"/>
      <c r="C14" s="18"/>
      <c r="D14" s="139" t="s">
        <v>205</v>
      </c>
      <c r="E14" s="16">
        <v>0</v>
      </c>
      <c r="F14" s="16">
        <v>0</v>
      </c>
      <c r="G14" s="15">
        <v>0</v>
      </c>
      <c r="H14" s="15">
        <v>0</v>
      </c>
      <c r="I14" s="15">
        <v>350</v>
      </c>
      <c r="J14" s="15">
        <v>0</v>
      </c>
      <c r="K14" s="15">
        <v>0</v>
      </c>
      <c r="L14" s="15">
        <v>0</v>
      </c>
      <c r="M14" s="14"/>
      <c r="N14" s="14"/>
      <c r="O14" s="14"/>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row>
    <row r="15" spans="1:51" ht="14.1" customHeight="1" x14ac:dyDescent="0.2">
      <c r="A15" s="166"/>
      <c r="B15" s="18"/>
      <c r="C15" s="18"/>
      <c r="D15" s="17" t="s">
        <v>172</v>
      </c>
      <c r="E15" s="16">
        <v>1030</v>
      </c>
      <c r="F15" s="16">
        <v>6360</v>
      </c>
      <c r="G15" s="15">
        <v>2202</v>
      </c>
      <c r="H15" s="15">
        <v>1967.26</v>
      </c>
      <c r="I15" s="15">
        <v>5814.51</v>
      </c>
      <c r="J15" s="15">
        <v>5000</v>
      </c>
      <c r="K15" s="15">
        <v>2000</v>
      </c>
      <c r="L15" s="15">
        <v>2500</v>
      </c>
      <c r="M15" s="14"/>
      <c r="N15" s="14"/>
      <c r="O15" s="14"/>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row>
    <row r="16" spans="1:51" ht="14.1" customHeight="1" x14ac:dyDescent="0.2">
      <c r="A16" s="166"/>
      <c r="B16" s="18"/>
      <c r="C16" s="18"/>
      <c r="D16" s="17" t="s">
        <v>196</v>
      </c>
      <c r="E16" s="16">
        <v>11700</v>
      </c>
      <c r="F16" s="16">
        <v>12173</v>
      </c>
      <c r="G16" s="15">
        <v>12275</v>
      </c>
      <c r="H16" s="15">
        <v>13050</v>
      </c>
      <c r="I16" s="15">
        <v>11775</v>
      </c>
      <c r="J16" s="15">
        <v>13800</v>
      </c>
      <c r="K16" s="15">
        <v>11300</v>
      </c>
      <c r="L16" s="15">
        <v>12300</v>
      </c>
      <c r="M16" s="14"/>
      <c r="N16" s="14"/>
      <c r="O16" s="14"/>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row>
    <row r="17" spans="1:51" ht="14.1" customHeight="1" x14ac:dyDescent="0.2">
      <c r="A17" s="166"/>
      <c r="B17" s="18"/>
      <c r="C17" s="18"/>
      <c r="D17" s="17" t="s">
        <v>203</v>
      </c>
      <c r="E17" s="16">
        <v>0</v>
      </c>
      <c r="F17" s="16">
        <v>0</v>
      </c>
      <c r="G17" s="15">
        <v>7500</v>
      </c>
      <c r="H17" s="15">
        <v>13700</v>
      </c>
      <c r="I17" s="15">
        <v>13200</v>
      </c>
      <c r="J17" s="15">
        <v>12000</v>
      </c>
      <c r="K17" s="15">
        <v>13200</v>
      </c>
      <c r="L17" s="15">
        <v>13200</v>
      </c>
      <c r="M17" s="14"/>
      <c r="N17" s="14"/>
      <c r="O17" s="14"/>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row>
    <row r="18" spans="1:51" ht="14.1" customHeight="1" x14ac:dyDescent="0.2">
      <c r="A18" s="166"/>
      <c r="B18" s="18"/>
      <c r="C18" s="18"/>
      <c r="D18" s="17" t="s">
        <v>173</v>
      </c>
      <c r="E18" s="16">
        <v>-13358</v>
      </c>
      <c r="F18" s="16">
        <v>-18004</v>
      </c>
      <c r="G18" s="15">
        <v>0</v>
      </c>
      <c r="H18" s="15">
        <v>-22974.12</v>
      </c>
      <c r="I18" s="15">
        <v>0</v>
      </c>
      <c r="J18" s="15">
        <v>-40000</v>
      </c>
      <c r="K18" s="15">
        <v>-50000</v>
      </c>
      <c r="L18" s="15">
        <v>-50000</v>
      </c>
      <c r="M18" s="14"/>
      <c r="N18" s="14"/>
      <c r="O18" s="14"/>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row>
    <row r="19" spans="1:51" ht="14.1" customHeight="1" x14ac:dyDescent="0.2">
      <c r="A19" s="166"/>
      <c r="B19" s="18"/>
      <c r="C19" s="18"/>
      <c r="D19" s="17" t="s">
        <v>206</v>
      </c>
      <c r="E19" s="16">
        <v>0</v>
      </c>
      <c r="F19" s="16">
        <v>-52358</v>
      </c>
      <c r="G19" s="15">
        <v>-25475</v>
      </c>
      <c r="H19" s="15">
        <v>0</v>
      </c>
      <c r="I19" s="15">
        <v>0</v>
      </c>
      <c r="J19" s="15">
        <v>-35000</v>
      </c>
      <c r="K19" s="15">
        <v>0</v>
      </c>
      <c r="L19" s="15">
        <v>0</v>
      </c>
      <c r="M19" s="14"/>
      <c r="N19" s="14"/>
      <c r="O19" s="14"/>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row>
    <row r="20" spans="1:51" ht="14.1" customHeight="1" x14ac:dyDescent="0.2">
      <c r="A20" s="166"/>
      <c r="B20" s="143"/>
      <c r="C20" s="302" t="s">
        <v>170</v>
      </c>
      <c r="D20" s="302"/>
      <c r="E20" s="29">
        <f t="shared" ref="E20:L20" si="4">SUM(E21:E31)</f>
        <v>940428</v>
      </c>
      <c r="F20" s="29">
        <f t="shared" si="4"/>
        <v>920430</v>
      </c>
      <c r="G20" s="29">
        <f t="shared" si="4"/>
        <v>1200168</v>
      </c>
      <c r="H20" s="29">
        <f t="shared" si="4"/>
        <v>1065349.21</v>
      </c>
      <c r="I20" s="29">
        <f t="shared" si="4"/>
        <v>1100337.5200000003</v>
      </c>
      <c r="J20" s="29">
        <f t="shared" si="4"/>
        <v>1473205</v>
      </c>
      <c r="K20" s="29">
        <f t="shared" si="4"/>
        <v>1613305</v>
      </c>
      <c r="L20" s="29">
        <f t="shared" si="4"/>
        <v>2420255</v>
      </c>
      <c r="M20" s="19"/>
      <c r="N20" s="19"/>
      <c r="O20" s="19"/>
      <c r="P20" s="19"/>
      <c r="Q20" s="19"/>
      <c r="R20" s="19"/>
      <c r="S20" s="19"/>
      <c r="T20" s="19"/>
      <c r="U20" s="19"/>
      <c r="V20" s="19"/>
      <c r="W20" s="19"/>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row>
    <row r="21" spans="1:51" ht="14.1" customHeight="1" x14ac:dyDescent="0.2">
      <c r="A21" s="166"/>
      <c r="B21" s="18"/>
      <c r="C21" s="18"/>
      <c r="D21" s="17" t="s">
        <v>414</v>
      </c>
      <c r="E21" s="16">
        <v>92430</v>
      </c>
      <c r="F21" s="16">
        <v>120457</v>
      </c>
      <c r="G21" s="15">
        <v>91404</v>
      </c>
      <c r="H21" s="15">
        <v>130128.56</v>
      </c>
      <c r="I21" s="15">
        <v>97889.82</v>
      </c>
      <c r="J21" s="15">
        <v>150000</v>
      </c>
      <c r="K21" s="15">
        <v>110000</v>
      </c>
      <c r="L21" s="15">
        <v>115000</v>
      </c>
      <c r="M21" s="14"/>
      <c r="N21" s="14"/>
      <c r="O21" s="14"/>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row>
    <row r="22" spans="1:51" ht="14.1" customHeight="1" x14ac:dyDescent="0.2">
      <c r="A22" s="166"/>
      <c r="B22" s="18"/>
      <c r="C22" s="18"/>
      <c r="D22" s="17" t="s">
        <v>208</v>
      </c>
      <c r="E22" s="16">
        <v>87762</v>
      </c>
      <c r="F22" s="16">
        <v>49683</v>
      </c>
      <c r="G22" s="15">
        <v>46165</v>
      </c>
      <c r="H22" s="15">
        <f>120161.65+11999</f>
        <v>132160.65</v>
      </c>
      <c r="I22" s="15">
        <v>107595.02</v>
      </c>
      <c r="J22" s="15">
        <v>150000</v>
      </c>
      <c r="K22" s="15">
        <v>190000</v>
      </c>
      <c r="L22" s="15">
        <v>195000</v>
      </c>
      <c r="M22" s="14"/>
      <c r="N22" s="14"/>
      <c r="O22" s="14"/>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row>
    <row r="23" spans="1:51" ht="14.1" customHeight="1" x14ac:dyDescent="0.2">
      <c r="A23" s="166"/>
      <c r="B23" s="18"/>
      <c r="C23" s="18"/>
      <c r="D23" s="17" t="s">
        <v>423</v>
      </c>
      <c r="E23" s="16">
        <v>734334</v>
      </c>
      <c r="F23" s="16">
        <v>727472</v>
      </c>
      <c r="G23" s="15">
        <v>1039770</v>
      </c>
      <c r="H23" s="15">
        <f>229398.39+5233.05+2080.8+6439.85+3850.5+498220.2+24083.88</f>
        <v>769306.67</v>
      </c>
      <c r="I23" s="15">
        <v>860224.74</v>
      </c>
      <c r="J23" s="15">
        <v>1229400</v>
      </c>
      <c r="K23" s="15">
        <v>1274200</v>
      </c>
      <c r="L23" s="15">
        <v>2069450</v>
      </c>
      <c r="M23" s="14"/>
      <c r="N23" s="14"/>
      <c r="O23" s="14"/>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row>
    <row r="24" spans="1:51" ht="14.1" customHeight="1" x14ac:dyDescent="0.2">
      <c r="A24" s="166"/>
      <c r="B24" s="18"/>
      <c r="C24" s="18"/>
      <c r="D24" s="17" t="s">
        <v>187</v>
      </c>
      <c r="E24" s="16">
        <v>6624</v>
      </c>
      <c r="F24" s="16">
        <v>5053</v>
      </c>
      <c r="G24" s="15">
        <v>2017</v>
      </c>
      <c r="H24" s="15">
        <f>4826.86</f>
        <v>4826.8599999999997</v>
      </c>
      <c r="I24" s="15">
        <v>6118.92</v>
      </c>
      <c r="J24" s="15">
        <v>16500</v>
      </c>
      <c r="K24" s="15">
        <v>13000</v>
      </c>
      <c r="L24" s="15">
        <v>15000</v>
      </c>
      <c r="M24" s="14"/>
      <c r="N24" s="14"/>
      <c r="O24" s="14"/>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row>
    <row r="25" spans="1:51" ht="14.1" customHeight="1" x14ac:dyDescent="0.2">
      <c r="A25" s="166"/>
      <c r="B25" s="18"/>
      <c r="C25" s="18"/>
      <c r="D25" s="17" t="s">
        <v>416</v>
      </c>
      <c r="E25" s="16">
        <v>3985</v>
      </c>
      <c r="F25" s="16">
        <v>4700</v>
      </c>
      <c r="G25" s="15">
        <v>4985</v>
      </c>
      <c r="H25" s="15">
        <v>4426.76</v>
      </c>
      <c r="I25" s="15">
        <v>4849.7</v>
      </c>
      <c r="J25" s="15">
        <v>7500</v>
      </c>
      <c r="K25" s="15">
        <v>6500</v>
      </c>
      <c r="L25" s="15">
        <v>6000</v>
      </c>
      <c r="M25" s="14"/>
      <c r="N25" s="14"/>
      <c r="O25" s="14"/>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row>
    <row r="26" spans="1:51" ht="14.1" customHeight="1" x14ac:dyDescent="0.2">
      <c r="A26" s="166"/>
      <c r="B26" s="18"/>
      <c r="C26" s="18"/>
      <c r="D26" s="17" t="s">
        <v>167</v>
      </c>
      <c r="E26" s="16">
        <v>14338</v>
      </c>
      <c r="F26" s="16">
        <v>11775</v>
      </c>
      <c r="G26" s="15">
        <v>3600</v>
      </c>
      <c r="H26" s="15">
        <v>12314.64</v>
      </c>
      <c r="I26" s="15">
        <v>10038.86</v>
      </c>
      <c r="J26" s="15">
        <v>3600</v>
      </c>
      <c r="K26" s="15">
        <v>3600</v>
      </c>
      <c r="L26" s="15">
        <v>3600</v>
      </c>
      <c r="M26" s="14"/>
      <c r="N26" s="14"/>
      <c r="O26" s="14"/>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row>
    <row r="27" spans="1:51" ht="14.1" customHeight="1" x14ac:dyDescent="0.2">
      <c r="A27" s="166"/>
      <c r="B27" s="18"/>
      <c r="C27" s="18"/>
      <c r="D27" s="17" t="s">
        <v>168</v>
      </c>
      <c r="E27" s="16">
        <v>0</v>
      </c>
      <c r="F27" s="16">
        <v>250</v>
      </c>
      <c r="G27" s="15">
        <v>50</v>
      </c>
      <c r="H27" s="15">
        <v>0</v>
      </c>
      <c r="I27" s="15">
        <v>0</v>
      </c>
      <c r="J27" s="15">
        <v>250</v>
      </c>
      <c r="K27" s="15">
        <v>200</v>
      </c>
      <c r="L27" s="15">
        <v>250</v>
      </c>
      <c r="M27" s="14"/>
      <c r="N27" s="14"/>
      <c r="O27" s="14"/>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row>
    <row r="28" spans="1:51" ht="14.1" customHeight="1" x14ac:dyDescent="0.2">
      <c r="A28" s="166"/>
      <c r="B28" s="18"/>
      <c r="C28" s="18"/>
      <c r="D28" s="17" t="s">
        <v>175</v>
      </c>
      <c r="E28" s="16">
        <v>0</v>
      </c>
      <c r="F28" s="16">
        <v>0</v>
      </c>
      <c r="G28" s="15">
        <v>11237</v>
      </c>
      <c r="H28" s="15">
        <v>12185.07</v>
      </c>
      <c r="I28" s="15">
        <v>12670.6</v>
      </c>
      <c r="J28" s="15">
        <v>15000</v>
      </c>
      <c r="K28" s="15">
        <v>15000</v>
      </c>
      <c r="L28" s="15">
        <v>15000</v>
      </c>
      <c r="M28" s="14"/>
      <c r="N28" s="14"/>
      <c r="O28" s="14"/>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row>
    <row r="29" spans="1:51" ht="14.1" customHeight="1" x14ac:dyDescent="0.2">
      <c r="A29" s="166"/>
      <c r="B29" s="18"/>
      <c r="C29" s="18"/>
      <c r="D29" s="17" t="s">
        <v>176</v>
      </c>
      <c r="E29" s="16">
        <v>0</v>
      </c>
      <c r="F29" s="16">
        <v>100</v>
      </c>
      <c r="G29" s="15">
        <v>0</v>
      </c>
      <c r="H29" s="15">
        <v>0</v>
      </c>
      <c r="I29" s="15">
        <v>0</v>
      </c>
      <c r="J29" s="15">
        <v>0</v>
      </c>
      <c r="K29" s="15">
        <v>0</v>
      </c>
      <c r="L29" s="15">
        <v>0</v>
      </c>
      <c r="M29" s="14"/>
      <c r="N29" s="14"/>
      <c r="O29" s="14"/>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row>
    <row r="30" spans="1:51" ht="14.1" customHeight="1" x14ac:dyDescent="0.2">
      <c r="A30" s="166"/>
      <c r="B30" s="18"/>
      <c r="C30" s="18"/>
      <c r="D30" s="17" t="s">
        <v>189</v>
      </c>
      <c r="E30" s="16">
        <v>955</v>
      </c>
      <c r="F30" s="16">
        <v>940</v>
      </c>
      <c r="G30" s="15">
        <v>940</v>
      </c>
      <c r="H30" s="15">
        <v>0</v>
      </c>
      <c r="I30" s="15">
        <v>949.86</v>
      </c>
      <c r="J30" s="15">
        <v>955</v>
      </c>
      <c r="K30" s="15">
        <v>805</v>
      </c>
      <c r="L30" s="15">
        <v>955</v>
      </c>
      <c r="M30" s="14"/>
      <c r="N30" s="14"/>
      <c r="O30" s="14"/>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row>
    <row r="31" spans="1:51" ht="14.1" customHeight="1" x14ac:dyDescent="0.2">
      <c r="A31" s="166"/>
      <c r="B31" s="18"/>
      <c r="C31" s="18"/>
      <c r="D31" s="17" t="s">
        <v>177</v>
      </c>
      <c r="E31" s="16">
        <v>0</v>
      </c>
      <c r="F31" s="16">
        <v>0</v>
      </c>
      <c r="G31" s="15">
        <v>0</v>
      </c>
      <c r="H31" s="15">
        <v>0</v>
      </c>
      <c r="I31" s="15">
        <v>0</v>
      </c>
      <c r="J31" s="15">
        <v>-100000</v>
      </c>
      <c r="K31" s="15">
        <v>0</v>
      </c>
      <c r="L31" s="15">
        <v>0</v>
      </c>
      <c r="M31" s="14"/>
      <c r="N31" s="14"/>
      <c r="O31" s="14"/>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row>
    <row r="32" spans="1:51" x14ac:dyDescent="0.2">
      <c r="A32" s="166"/>
      <c r="B32" s="297" t="s">
        <v>223</v>
      </c>
      <c r="C32" s="297"/>
      <c r="D32" s="297"/>
      <c r="E32" s="109">
        <f t="shared" ref="E32:L32" si="5">SUM(E33:E39)</f>
        <v>1856674.6600000001</v>
      </c>
      <c r="F32" s="109">
        <f t="shared" si="5"/>
        <v>1951033.25</v>
      </c>
      <c r="G32" s="109">
        <f t="shared" si="5"/>
        <v>2425822.3899999997</v>
      </c>
      <c r="H32" s="109">
        <f t="shared" si="5"/>
        <v>2230004.59</v>
      </c>
      <c r="I32" s="109">
        <f t="shared" si="5"/>
        <v>1367509.17</v>
      </c>
      <c r="J32" s="109">
        <f t="shared" si="5"/>
        <v>2713996</v>
      </c>
      <c r="K32" s="109">
        <f t="shared" si="5"/>
        <v>2739540</v>
      </c>
      <c r="L32" s="109">
        <f t="shared" si="5"/>
        <v>2930807</v>
      </c>
    </row>
    <row r="33" spans="1:12" x14ac:dyDescent="0.2">
      <c r="A33" s="166"/>
      <c r="B33" s="142"/>
      <c r="C33" s="142"/>
      <c r="D33" s="135" t="s">
        <v>304</v>
      </c>
      <c r="E33" s="105">
        <v>0</v>
      </c>
      <c r="F33" s="105">
        <v>0</v>
      </c>
      <c r="G33" s="105">
        <v>0</v>
      </c>
      <c r="H33" s="105">
        <v>0</v>
      </c>
      <c r="I33" s="105">
        <v>140003</v>
      </c>
      <c r="J33" s="105">
        <v>0</v>
      </c>
      <c r="K33" s="105">
        <v>0</v>
      </c>
      <c r="L33" s="105">
        <v>0</v>
      </c>
    </row>
    <row r="34" spans="1:12" x14ac:dyDescent="0.2">
      <c r="A34" s="166"/>
      <c r="B34" s="135"/>
      <c r="C34" s="135"/>
      <c r="D34" s="65" t="s">
        <v>264</v>
      </c>
      <c r="E34" s="16">
        <v>195761.69</v>
      </c>
      <c r="F34" s="16">
        <v>268591.42</v>
      </c>
      <c r="G34" s="15">
        <v>233694.95</v>
      </c>
      <c r="H34" s="15">
        <v>249345.63</v>
      </c>
      <c r="I34" s="15">
        <v>262524</v>
      </c>
      <c r="J34" s="15">
        <v>309989</v>
      </c>
      <c r="K34" s="15">
        <v>319572</v>
      </c>
      <c r="L34" s="15">
        <v>350969</v>
      </c>
    </row>
    <row r="35" spans="1:12" x14ac:dyDescent="0.2">
      <c r="A35" s="166"/>
      <c r="B35" s="135"/>
      <c r="C35" s="135"/>
      <c r="D35" s="65" t="s">
        <v>335</v>
      </c>
      <c r="E35" s="16">
        <v>147584</v>
      </c>
      <c r="F35" s="16">
        <v>157219.28</v>
      </c>
      <c r="G35" s="15">
        <v>164425.60999999999</v>
      </c>
      <c r="H35" s="15">
        <v>165505.42000000001</v>
      </c>
      <c r="I35" s="15">
        <v>169056.17</v>
      </c>
      <c r="J35" s="15">
        <v>185950</v>
      </c>
      <c r="K35" s="15">
        <v>166068</v>
      </c>
      <c r="L35" s="15">
        <v>189325</v>
      </c>
    </row>
    <row r="36" spans="1:12" x14ac:dyDescent="0.2">
      <c r="A36" s="166"/>
      <c r="B36" s="135"/>
      <c r="C36" s="135"/>
      <c r="D36" s="65" t="s">
        <v>336</v>
      </c>
      <c r="E36" s="16">
        <v>290400.28999999998</v>
      </c>
      <c r="F36" s="16">
        <v>97894.73</v>
      </c>
      <c r="G36" s="15">
        <v>448552.61</v>
      </c>
      <c r="H36" s="15">
        <v>156899.21</v>
      </c>
      <c r="I36" s="15">
        <v>-321068</v>
      </c>
      <c r="J36" s="15">
        <v>420000</v>
      </c>
      <c r="K36" s="15">
        <v>400000</v>
      </c>
      <c r="L36" s="15">
        <v>400000</v>
      </c>
    </row>
    <row r="37" spans="1:12" x14ac:dyDescent="0.2">
      <c r="A37" s="166"/>
      <c r="B37" s="135"/>
      <c r="C37" s="135"/>
      <c r="D37" s="65" t="s">
        <v>337</v>
      </c>
      <c r="E37" s="16">
        <v>697928.68</v>
      </c>
      <c r="F37" s="16">
        <v>902327.82</v>
      </c>
      <c r="G37" s="15">
        <v>1054149.22</v>
      </c>
      <c r="H37" s="15">
        <v>1133254.33</v>
      </c>
      <c r="I37" s="15">
        <v>576244</v>
      </c>
      <c r="J37" s="15">
        <v>1257307</v>
      </c>
      <c r="K37" s="15">
        <v>1313150</v>
      </c>
      <c r="L37" s="15">
        <v>1449763</v>
      </c>
    </row>
    <row r="38" spans="1:12" x14ac:dyDescent="0.2">
      <c r="A38" s="166"/>
      <c r="B38" s="135"/>
      <c r="C38" s="135"/>
      <c r="D38" s="65" t="s">
        <v>338</v>
      </c>
      <c r="E38" s="16">
        <v>0</v>
      </c>
      <c r="F38" s="16">
        <v>0</v>
      </c>
      <c r="G38" s="15">
        <v>0</v>
      </c>
      <c r="H38" s="15">
        <v>0</v>
      </c>
      <c r="I38" s="15">
        <v>0</v>
      </c>
      <c r="J38" s="15">
        <v>0</v>
      </c>
      <c r="K38" s="15">
        <v>0</v>
      </c>
      <c r="L38" s="15">
        <v>0</v>
      </c>
    </row>
    <row r="39" spans="1:12" x14ac:dyDescent="0.2">
      <c r="A39" s="166"/>
      <c r="B39" s="135"/>
      <c r="C39" s="135"/>
      <c r="D39" s="18" t="s">
        <v>306</v>
      </c>
      <c r="E39" s="16">
        <v>525000</v>
      </c>
      <c r="F39" s="16">
        <v>525000</v>
      </c>
      <c r="G39" s="16">
        <v>525000</v>
      </c>
      <c r="H39" s="16">
        <v>525000</v>
      </c>
      <c r="I39" s="16">
        <v>540750</v>
      </c>
      <c r="J39" s="16">
        <v>540750</v>
      </c>
      <c r="K39" s="16">
        <v>540750</v>
      </c>
      <c r="L39" s="15">
        <v>540750</v>
      </c>
    </row>
    <row r="40" spans="1:12" x14ac:dyDescent="0.2">
      <c r="A40" s="166"/>
      <c r="B40" s="297" t="s">
        <v>307</v>
      </c>
      <c r="C40" s="297"/>
      <c r="D40" s="297"/>
      <c r="E40" s="109">
        <f t="shared" ref="E40:L40" si="6">SUM(E41:E42)</f>
        <v>1657427</v>
      </c>
      <c r="F40" s="109">
        <f t="shared" si="6"/>
        <v>660497</v>
      </c>
      <c r="G40" s="109">
        <f t="shared" si="6"/>
        <v>2149914</v>
      </c>
      <c r="H40" s="109">
        <f t="shared" si="6"/>
        <v>1183794</v>
      </c>
      <c r="I40" s="109">
        <f t="shared" si="6"/>
        <v>48443</v>
      </c>
      <c r="J40" s="109">
        <f t="shared" si="6"/>
        <v>940875</v>
      </c>
      <c r="K40" s="109">
        <f t="shared" si="6"/>
        <v>940875</v>
      </c>
      <c r="L40" s="109">
        <f t="shared" si="6"/>
        <v>1221582</v>
      </c>
    </row>
    <row r="41" spans="1:12" x14ac:dyDescent="0.2">
      <c r="A41" s="166"/>
      <c r="B41" s="135"/>
      <c r="C41" s="135"/>
      <c r="D41" s="18" t="s">
        <v>285</v>
      </c>
      <c r="E41" s="16">
        <v>663427</v>
      </c>
      <c r="F41" s="16">
        <v>660497</v>
      </c>
      <c r="G41" s="16">
        <v>631774</v>
      </c>
      <c r="H41" s="16">
        <v>533794</v>
      </c>
      <c r="I41" s="16">
        <v>48443</v>
      </c>
      <c r="J41" s="15">
        <v>267875</v>
      </c>
      <c r="K41" s="16">
        <v>267875</v>
      </c>
      <c r="L41" s="15">
        <v>266582</v>
      </c>
    </row>
    <row r="42" spans="1:12" x14ac:dyDescent="0.2">
      <c r="A42" s="166"/>
      <c r="B42" s="135"/>
      <c r="C42" s="135"/>
      <c r="D42" s="18" t="s">
        <v>308</v>
      </c>
      <c r="E42" s="16">
        <v>994000</v>
      </c>
      <c r="F42" s="16">
        <v>0</v>
      </c>
      <c r="G42" s="16">
        <v>1518140</v>
      </c>
      <c r="H42" s="16">
        <v>650000</v>
      </c>
      <c r="I42" s="16">
        <v>0</v>
      </c>
      <c r="J42" s="15">
        <v>673000</v>
      </c>
      <c r="K42" s="16">
        <v>673000</v>
      </c>
      <c r="L42" s="15">
        <v>955000</v>
      </c>
    </row>
  </sheetData>
  <mergeCells count="12">
    <mergeCell ref="B40:D40"/>
    <mergeCell ref="B32:D32"/>
    <mergeCell ref="A1:D1"/>
    <mergeCell ref="A2:D2"/>
    <mergeCell ref="A7:D7"/>
    <mergeCell ref="B3:D3"/>
    <mergeCell ref="B4:D4"/>
    <mergeCell ref="B5:D5"/>
    <mergeCell ref="B6:D6"/>
    <mergeCell ref="B8:D8"/>
    <mergeCell ref="C9:D9"/>
    <mergeCell ref="C20:D20"/>
  </mergeCells>
  <conditionalFormatting sqref="E1:L1">
    <cfRule type="cellIs" dxfId="10" priority="1" operator="lessThan">
      <formula>0</formula>
    </cfRule>
  </conditionalFormatting>
  <conditionalFormatting sqref="G3:L6 G10:L19 G21:L31 G34:K38 L34:L39 J41:J42 L41:L42">
    <cfRule type="cellIs" dxfId="9" priority="2" operator="lessThan">
      <formula>0</formula>
    </cfRule>
  </conditionalFormatting>
  <pageMargins left="0.7" right="0.7" top="0.75" bottom="0.75" header="0.3" footer="0.3"/>
  <pageSetup scale="6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34886-275F-4453-BEB8-9BA69BFBADCE}">
  <sheetPr>
    <pageSetUpPr fitToPage="1"/>
  </sheetPr>
  <dimension ref="A1:N25"/>
  <sheetViews>
    <sheetView zoomScale="90" zoomScaleNormal="90" workbookViewId="0">
      <pane ySplit="1" topLeftCell="A2" activePane="bottomLeft" state="frozen"/>
      <selection activeCell="N22" sqref="N22"/>
      <selection pane="bottomLeft" activeCell="L2" sqref="L2"/>
    </sheetView>
  </sheetViews>
  <sheetFormatPr defaultColWidth="9.33203125" defaultRowHeight="12.75" x14ac:dyDescent="0.2"/>
  <cols>
    <col min="1" max="3" width="5" style="5" customWidth="1"/>
    <col min="4" max="4" width="46.1640625" style="5" bestFit="1" customWidth="1"/>
    <col min="5" max="12" width="17" style="5" customWidth="1"/>
    <col min="13" max="16384" width="9.33203125" style="1"/>
  </cols>
  <sheetData>
    <row r="1" spans="1:14" ht="25.5" customHeight="1" x14ac:dyDescent="0.2">
      <c r="A1" s="298" t="s">
        <v>419</v>
      </c>
      <c r="B1" s="298"/>
      <c r="C1" s="298"/>
      <c r="D1" s="298"/>
      <c r="E1" s="144" t="s">
        <v>309</v>
      </c>
      <c r="F1" s="144" t="s">
        <v>310</v>
      </c>
      <c r="G1" s="144" t="s">
        <v>2</v>
      </c>
      <c r="H1" s="144" t="s">
        <v>3</v>
      </c>
      <c r="I1" s="144" t="s">
        <v>315</v>
      </c>
      <c r="J1" s="144" t="s">
        <v>527</v>
      </c>
      <c r="K1" s="144" t="s">
        <v>529</v>
      </c>
      <c r="L1" s="144" t="s">
        <v>528</v>
      </c>
    </row>
    <row r="2" spans="1:14" x14ac:dyDescent="0.2">
      <c r="A2" s="303" t="s">
        <v>4</v>
      </c>
      <c r="B2" s="303"/>
      <c r="C2" s="303"/>
      <c r="D2" s="303"/>
      <c r="E2" s="7">
        <v>0</v>
      </c>
      <c r="F2" s="7">
        <v>0</v>
      </c>
      <c r="G2" s="7">
        <f t="shared" ref="G2:L2" si="0">SUM(G3:G6)</f>
        <v>1340822</v>
      </c>
      <c r="H2" s="7">
        <f t="shared" si="0"/>
        <v>1830644.14</v>
      </c>
      <c r="I2" s="7">
        <f t="shared" si="0"/>
        <v>2766820.09</v>
      </c>
      <c r="J2" s="7">
        <f t="shared" si="0"/>
        <v>2285237</v>
      </c>
      <c r="K2" s="7">
        <f t="shared" si="0"/>
        <v>3658560</v>
      </c>
      <c r="L2" s="7">
        <f t="shared" si="0"/>
        <v>2719688</v>
      </c>
    </row>
    <row r="3" spans="1:14" x14ac:dyDescent="0.2">
      <c r="A3" s="168"/>
      <c r="B3" s="305" t="s">
        <v>6</v>
      </c>
      <c r="C3" s="305"/>
      <c r="D3" s="305"/>
      <c r="E3" s="48">
        <v>0</v>
      </c>
      <c r="F3" s="8">
        <v>0</v>
      </c>
      <c r="G3" s="9">
        <v>0</v>
      </c>
      <c r="H3" s="9">
        <v>0</v>
      </c>
      <c r="I3" s="9">
        <v>0</v>
      </c>
      <c r="J3" s="9">
        <v>-1349724</v>
      </c>
      <c r="K3" s="9">
        <v>0</v>
      </c>
      <c r="L3" s="9">
        <v>-915273</v>
      </c>
    </row>
    <row r="4" spans="1:14" x14ac:dyDescent="0.2">
      <c r="A4" s="168"/>
      <c r="B4" s="267" t="s">
        <v>311</v>
      </c>
      <c r="C4" s="267"/>
      <c r="D4" s="267"/>
      <c r="E4" s="49">
        <v>0</v>
      </c>
      <c r="F4" s="9">
        <v>0</v>
      </c>
      <c r="G4" s="9">
        <v>0</v>
      </c>
      <c r="H4" s="9">
        <v>0</v>
      </c>
      <c r="I4" s="9">
        <v>0</v>
      </c>
      <c r="J4" s="9">
        <v>0</v>
      </c>
      <c r="K4" s="9">
        <v>0</v>
      </c>
      <c r="L4" s="9">
        <v>0</v>
      </c>
    </row>
    <row r="5" spans="1:14" x14ac:dyDescent="0.2">
      <c r="A5" s="168"/>
      <c r="B5" s="305" t="s">
        <v>312</v>
      </c>
      <c r="C5" s="305"/>
      <c r="D5" s="305"/>
      <c r="E5" s="48">
        <v>0</v>
      </c>
      <c r="F5" s="8">
        <v>0</v>
      </c>
      <c r="G5" s="9">
        <v>901286</v>
      </c>
      <c r="H5" s="9">
        <v>1830644.14</v>
      </c>
      <c r="I5" s="9">
        <v>2766820.09</v>
      </c>
      <c r="J5" s="9">
        <v>3634961</v>
      </c>
      <c r="K5" s="9">
        <v>3658560</v>
      </c>
      <c r="L5" s="9">
        <v>3634961</v>
      </c>
    </row>
    <row r="6" spans="1:14" x14ac:dyDescent="0.2">
      <c r="A6" s="168"/>
      <c r="B6" s="305" t="s">
        <v>141</v>
      </c>
      <c r="C6" s="305"/>
      <c r="D6" s="305"/>
      <c r="E6" s="48">
        <v>0</v>
      </c>
      <c r="F6" s="8">
        <v>0</v>
      </c>
      <c r="G6" s="9">
        <v>439536</v>
      </c>
      <c r="H6" s="9">
        <v>0</v>
      </c>
      <c r="I6" s="9">
        <v>0</v>
      </c>
      <c r="J6" s="9">
        <v>0</v>
      </c>
      <c r="K6" s="9">
        <v>0</v>
      </c>
      <c r="L6" s="9">
        <v>0</v>
      </c>
    </row>
    <row r="7" spans="1:14" x14ac:dyDescent="0.2">
      <c r="A7" s="304" t="s">
        <v>156</v>
      </c>
      <c r="B7" s="304"/>
      <c r="C7" s="304"/>
      <c r="D7" s="304"/>
      <c r="E7" s="10">
        <v>0</v>
      </c>
      <c r="F7" s="10">
        <v>0</v>
      </c>
      <c r="G7" s="10">
        <f t="shared" ref="G7:L7" si="1">G8+G14+G20</f>
        <v>3943267</v>
      </c>
      <c r="H7" s="10">
        <f t="shared" si="1"/>
        <v>4495456.59</v>
      </c>
      <c r="I7" s="10">
        <f t="shared" si="1"/>
        <v>1033508.47</v>
      </c>
      <c r="J7" s="10">
        <f t="shared" si="1"/>
        <v>2285237</v>
      </c>
      <c r="K7" s="10">
        <f t="shared" si="1"/>
        <v>2686392</v>
      </c>
      <c r="L7" s="10">
        <f t="shared" si="1"/>
        <v>2719688</v>
      </c>
    </row>
    <row r="8" spans="1:14" x14ac:dyDescent="0.2">
      <c r="A8" s="169"/>
      <c r="B8" s="287" t="s">
        <v>418</v>
      </c>
      <c r="C8" s="287"/>
      <c r="D8" s="287"/>
      <c r="E8" s="11">
        <v>0</v>
      </c>
      <c r="F8" s="11">
        <v>0</v>
      </c>
      <c r="G8" s="11">
        <f t="shared" ref="G8:L8" si="2">G9+G12</f>
        <v>3845553</v>
      </c>
      <c r="H8" s="11">
        <f t="shared" si="2"/>
        <v>3896003.59</v>
      </c>
      <c r="I8" s="11">
        <f t="shared" si="2"/>
        <v>994363.98</v>
      </c>
      <c r="J8" s="11">
        <f t="shared" si="2"/>
        <v>1155459</v>
      </c>
      <c r="K8" s="11">
        <f t="shared" si="2"/>
        <v>1115263</v>
      </c>
      <c r="L8" s="11">
        <f t="shared" si="2"/>
        <v>1160266</v>
      </c>
    </row>
    <row r="9" spans="1:14" ht="12.75" customHeight="1" x14ac:dyDescent="0.2">
      <c r="A9" s="168"/>
      <c r="B9" s="130"/>
      <c r="C9" s="301" t="s">
        <v>159</v>
      </c>
      <c r="D9" s="301"/>
      <c r="E9" s="11">
        <f t="shared" ref="E9:F9" si="3">E10+E11</f>
        <v>0</v>
      </c>
      <c r="F9" s="11">
        <f t="shared" si="3"/>
        <v>0</v>
      </c>
      <c r="G9" s="11">
        <f t="shared" ref="G9:L9" si="4">SUM(G10:G11)</f>
        <v>227109</v>
      </c>
      <c r="H9" s="11">
        <f t="shared" si="4"/>
        <v>138548.59</v>
      </c>
      <c r="I9" s="11">
        <f t="shared" si="4"/>
        <v>151425</v>
      </c>
      <c r="J9" s="11">
        <f t="shared" si="4"/>
        <v>151459</v>
      </c>
      <c r="K9" s="11">
        <f t="shared" si="4"/>
        <v>161263</v>
      </c>
      <c r="L9" s="11">
        <f t="shared" si="4"/>
        <v>160266</v>
      </c>
      <c r="M9" s="4"/>
      <c r="N9" s="4"/>
    </row>
    <row r="10" spans="1:14" x14ac:dyDescent="0.2">
      <c r="A10" s="168"/>
      <c r="B10" s="44"/>
      <c r="C10" s="44"/>
      <c r="D10" s="45" t="s">
        <v>160</v>
      </c>
      <c r="E10" s="46">
        <v>0</v>
      </c>
      <c r="F10" s="47">
        <v>0</v>
      </c>
      <c r="G10" s="39">
        <v>227109</v>
      </c>
      <c r="H10" s="39">
        <v>138048.59</v>
      </c>
      <c r="I10" s="39">
        <v>150925</v>
      </c>
      <c r="J10" s="39">
        <v>150959</v>
      </c>
      <c r="K10" s="39">
        <v>160763</v>
      </c>
      <c r="L10" s="39">
        <v>159766</v>
      </c>
      <c r="M10" s="2"/>
      <c r="N10" s="2"/>
    </row>
    <row r="11" spans="1:14" x14ac:dyDescent="0.2">
      <c r="A11" s="168"/>
      <c r="B11" s="44"/>
      <c r="C11" s="44"/>
      <c r="D11" s="45" t="s">
        <v>196</v>
      </c>
      <c r="E11" s="46">
        <v>0</v>
      </c>
      <c r="F11" s="47">
        <v>0</v>
      </c>
      <c r="G11" s="39">
        <v>0</v>
      </c>
      <c r="H11" s="39">
        <v>500</v>
      </c>
      <c r="I11" s="39">
        <v>500</v>
      </c>
      <c r="J11" s="39">
        <v>500</v>
      </c>
      <c r="K11" s="149">
        <v>500</v>
      </c>
      <c r="L11" s="39">
        <v>500</v>
      </c>
      <c r="M11" s="2"/>
      <c r="N11" s="2"/>
    </row>
    <row r="12" spans="1:14" ht="12.75" customHeight="1" x14ac:dyDescent="0.2">
      <c r="A12" s="168"/>
      <c r="B12" s="130"/>
      <c r="C12" s="301" t="s">
        <v>170</v>
      </c>
      <c r="D12" s="301"/>
      <c r="E12" s="11">
        <v>0</v>
      </c>
      <c r="F12" s="11">
        <v>0</v>
      </c>
      <c r="G12" s="11">
        <f t="shared" ref="G12:L12" si="5">G13</f>
        <v>3618444</v>
      </c>
      <c r="H12" s="11">
        <f t="shared" si="5"/>
        <v>3757455</v>
      </c>
      <c r="I12" s="11">
        <f t="shared" si="5"/>
        <v>842938.98</v>
      </c>
      <c r="J12" s="11">
        <f t="shared" si="5"/>
        <v>1004000</v>
      </c>
      <c r="K12" s="11">
        <f t="shared" si="5"/>
        <v>954000</v>
      </c>
      <c r="L12" s="11">
        <f t="shared" si="5"/>
        <v>1000000</v>
      </c>
      <c r="M12" s="3"/>
      <c r="N12" s="3"/>
    </row>
    <row r="13" spans="1:14" x14ac:dyDescent="0.2">
      <c r="A13" s="168"/>
      <c r="B13" s="44"/>
      <c r="C13" s="44"/>
      <c r="D13" s="45" t="s">
        <v>166</v>
      </c>
      <c r="E13" s="46">
        <v>0</v>
      </c>
      <c r="F13" s="47">
        <v>0</v>
      </c>
      <c r="G13" s="39">
        <v>3618444</v>
      </c>
      <c r="H13" s="39">
        <f>1521+3755934</f>
        <v>3757455</v>
      </c>
      <c r="I13" s="39">
        <v>842938.98</v>
      </c>
      <c r="J13" s="39">
        <v>1004000</v>
      </c>
      <c r="K13" s="39">
        <v>954000</v>
      </c>
      <c r="L13" s="39">
        <v>1000000</v>
      </c>
      <c r="M13" s="2"/>
      <c r="N13" s="2"/>
    </row>
    <row r="14" spans="1:14" x14ac:dyDescent="0.2">
      <c r="A14" s="170"/>
      <c r="B14" s="287" t="s">
        <v>223</v>
      </c>
      <c r="C14" s="287"/>
      <c r="D14" s="287"/>
      <c r="E14" s="38">
        <v>0</v>
      </c>
      <c r="F14" s="38">
        <v>0</v>
      </c>
      <c r="G14" s="38">
        <f t="shared" ref="G14:L14" si="6">SUM(G15:G19)</f>
        <v>97714</v>
      </c>
      <c r="H14" s="38">
        <f t="shared" si="6"/>
        <v>272453</v>
      </c>
      <c r="I14" s="38">
        <f t="shared" si="6"/>
        <v>39144.49</v>
      </c>
      <c r="J14" s="38">
        <f t="shared" si="6"/>
        <v>88459</v>
      </c>
      <c r="K14" s="38">
        <f t="shared" si="6"/>
        <v>74723</v>
      </c>
      <c r="L14" s="38">
        <f t="shared" si="6"/>
        <v>91998</v>
      </c>
    </row>
    <row r="15" spans="1:14" x14ac:dyDescent="0.2">
      <c r="A15" s="170"/>
      <c r="B15" s="130"/>
      <c r="C15" s="130"/>
      <c r="D15" s="65" t="s">
        <v>264</v>
      </c>
      <c r="E15" s="47">
        <v>0</v>
      </c>
      <c r="F15" s="47">
        <v>0</v>
      </c>
      <c r="G15" s="47">
        <v>0</v>
      </c>
      <c r="H15" s="47">
        <v>21008</v>
      </c>
      <c r="I15" s="47">
        <v>0</v>
      </c>
      <c r="J15" s="39">
        <v>30242</v>
      </c>
      <c r="K15" s="47">
        <v>31177</v>
      </c>
      <c r="L15" s="39">
        <v>34728</v>
      </c>
    </row>
    <row r="16" spans="1:14" x14ac:dyDescent="0.2">
      <c r="A16" s="170"/>
      <c r="B16" s="44"/>
      <c r="C16" s="44"/>
      <c r="D16" s="65" t="s">
        <v>335</v>
      </c>
      <c r="E16" s="47">
        <v>0</v>
      </c>
      <c r="F16" s="47">
        <v>0</v>
      </c>
      <c r="G16" s="39">
        <v>0</v>
      </c>
      <c r="H16" s="39">
        <v>10317</v>
      </c>
      <c r="I16" s="39">
        <v>11011.49</v>
      </c>
      <c r="J16" s="39">
        <v>11587</v>
      </c>
      <c r="K16" s="39">
        <v>12337</v>
      </c>
      <c r="L16" s="39">
        <v>12260</v>
      </c>
    </row>
    <row r="17" spans="1:12" x14ac:dyDescent="0.2">
      <c r="A17" s="170"/>
      <c r="B17" s="44"/>
      <c r="C17" s="44"/>
      <c r="D17" s="65" t="s">
        <v>336</v>
      </c>
      <c r="E17" s="47">
        <v>0</v>
      </c>
      <c r="F17" s="47">
        <v>0</v>
      </c>
      <c r="G17" s="39">
        <v>0</v>
      </c>
      <c r="H17" s="39">
        <v>1700</v>
      </c>
      <c r="I17" s="39">
        <v>0</v>
      </c>
      <c r="J17" s="39">
        <v>10000</v>
      </c>
      <c r="K17" s="39">
        <v>0</v>
      </c>
      <c r="L17" s="39">
        <v>10000</v>
      </c>
    </row>
    <row r="18" spans="1:12" x14ac:dyDescent="0.2">
      <c r="A18" s="170"/>
      <c r="B18" s="130"/>
      <c r="C18" s="130"/>
      <c r="D18" s="65" t="s">
        <v>337</v>
      </c>
      <c r="E18" s="47">
        <v>0</v>
      </c>
      <c r="F18" s="47">
        <v>0</v>
      </c>
      <c r="G18" s="47">
        <v>0</v>
      </c>
      <c r="H18" s="47">
        <v>44000</v>
      </c>
      <c r="I18" s="47">
        <v>28133</v>
      </c>
      <c r="J18" s="39">
        <v>36630</v>
      </c>
      <c r="K18" s="47">
        <v>31209</v>
      </c>
      <c r="L18" s="39">
        <v>35010</v>
      </c>
    </row>
    <row r="19" spans="1:12" x14ac:dyDescent="0.2">
      <c r="A19" s="170"/>
      <c r="B19" s="44"/>
      <c r="C19" s="44"/>
      <c r="D19" s="45" t="s">
        <v>306</v>
      </c>
      <c r="E19" s="46">
        <v>0</v>
      </c>
      <c r="F19" s="47">
        <v>0</v>
      </c>
      <c r="G19" s="39">
        <v>97714</v>
      </c>
      <c r="H19" s="39">
        <v>195428</v>
      </c>
      <c r="I19" s="39">
        <v>0</v>
      </c>
      <c r="J19" s="39">
        <v>0</v>
      </c>
      <c r="K19" s="39">
        <v>0</v>
      </c>
      <c r="L19" s="39">
        <v>0</v>
      </c>
    </row>
    <row r="20" spans="1:12" x14ac:dyDescent="0.2">
      <c r="A20" s="170"/>
      <c r="B20" s="287" t="s">
        <v>307</v>
      </c>
      <c r="C20" s="287"/>
      <c r="D20" s="287"/>
      <c r="E20" s="40">
        <v>0</v>
      </c>
      <c r="F20" s="40">
        <v>0</v>
      </c>
      <c r="G20" s="40">
        <f t="shared" ref="G20:L20" si="7">SUM(G21:G22)</f>
        <v>0</v>
      </c>
      <c r="H20" s="40">
        <f t="shared" si="7"/>
        <v>327000</v>
      </c>
      <c r="I20" s="40">
        <f t="shared" si="7"/>
        <v>0</v>
      </c>
      <c r="J20" s="40">
        <f t="shared" si="7"/>
        <v>1041319</v>
      </c>
      <c r="K20" s="40">
        <f t="shared" si="7"/>
        <v>1496406</v>
      </c>
      <c r="L20" s="40">
        <f t="shared" si="7"/>
        <v>1467424</v>
      </c>
    </row>
    <row r="21" spans="1:12" x14ac:dyDescent="0.2">
      <c r="A21" s="170"/>
      <c r="B21" s="134"/>
      <c r="C21" s="134"/>
      <c r="D21" s="44" t="s">
        <v>285</v>
      </c>
      <c r="E21" s="46">
        <v>0</v>
      </c>
      <c r="F21" s="47">
        <v>0</v>
      </c>
      <c r="G21" s="104">
        <v>0</v>
      </c>
      <c r="H21" s="104">
        <f>172000+120000</f>
        <v>292000</v>
      </c>
      <c r="I21" s="104">
        <v>0</v>
      </c>
      <c r="J21" s="39">
        <v>1041319</v>
      </c>
      <c r="K21" s="104">
        <v>1496406</v>
      </c>
      <c r="L21" s="39">
        <v>1467424</v>
      </c>
    </row>
    <row r="22" spans="1:12" x14ac:dyDescent="0.2">
      <c r="A22" s="170"/>
      <c r="B22" s="134"/>
      <c r="C22" s="134"/>
      <c r="D22" s="44" t="s">
        <v>308</v>
      </c>
      <c r="E22" s="46">
        <v>0</v>
      </c>
      <c r="F22" s="47">
        <v>0</v>
      </c>
      <c r="G22" s="104">
        <v>0</v>
      </c>
      <c r="H22" s="104">
        <v>35000</v>
      </c>
      <c r="I22" s="104">
        <v>0</v>
      </c>
      <c r="J22" s="39">
        <v>0</v>
      </c>
      <c r="K22" s="104">
        <v>0</v>
      </c>
      <c r="L22" s="39">
        <v>0</v>
      </c>
    </row>
    <row r="25" spans="1:12" x14ac:dyDescent="0.2">
      <c r="D25" s="103" t="s">
        <v>313</v>
      </c>
    </row>
  </sheetData>
  <mergeCells count="12">
    <mergeCell ref="B20:D20"/>
    <mergeCell ref="C9:D9"/>
    <mergeCell ref="C12:D12"/>
    <mergeCell ref="B8:D8"/>
    <mergeCell ref="B14:D14"/>
    <mergeCell ref="A1:D1"/>
    <mergeCell ref="A2:D2"/>
    <mergeCell ref="A7:D7"/>
    <mergeCell ref="B3:D3"/>
    <mergeCell ref="B4:D4"/>
    <mergeCell ref="B5:D5"/>
    <mergeCell ref="B6:D6"/>
  </mergeCells>
  <conditionalFormatting sqref="E1:I1 E2:F2 G2:I6 E7:I8 E9:F9 G9:I13 E12:F12 E14:I14 E15:F18 G15:I19 J21:J22 L21:L22">
    <cfRule type="cellIs" dxfId="8" priority="10" operator="lessThan">
      <formula>0</formula>
    </cfRule>
  </conditionalFormatting>
  <conditionalFormatting sqref="J1:L19">
    <cfRule type="cellIs" dxfId="7" priority="1" operator="lessThan">
      <formula>0</formula>
    </cfRule>
  </conditionalFormatting>
  <pageMargins left="0.7" right="0.7" top="0.75" bottom="0.75" header="0.3" footer="0.3"/>
  <pageSetup scale="6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0B11-074E-4493-82F6-3D13C4B68BD7}">
  <dimension ref="A1:K35"/>
  <sheetViews>
    <sheetView workbookViewId="0">
      <selection activeCell="K9" sqref="K9"/>
    </sheetView>
  </sheetViews>
  <sheetFormatPr defaultRowHeight="12.75" x14ac:dyDescent="0.2"/>
  <cols>
    <col min="1" max="1" width="3.5" customWidth="1"/>
    <col min="2" max="2" width="5.33203125" customWidth="1"/>
    <col min="3" max="3" width="26.83203125" customWidth="1"/>
    <col min="4" max="4" width="18.1640625" customWidth="1"/>
    <col min="5" max="5" width="19.1640625" customWidth="1"/>
    <col min="6" max="6" width="18.6640625" customWidth="1"/>
    <col min="7" max="9" width="18.5" customWidth="1"/>
    <col min="10" max="10" width="18" customWidth="1"/>
    <col min="11" max="11" width="18.5" customWidth="1"/>
  </cols>
  <sheetData>
    <row r="1" spans="1:11" ht="25.5" x14ac:dyDescent="0.2">
      <c r="A1" s="298" t="s">
        <v>426</v>
      </c>
      <c r="B1" s="298"/>
      <c r="C1" s="298"/>
      <c r="D1" s="27" t="s">
        <v>0</v>
      </c>
      <c r="E1" s="27" t="s">
        <v>1</v>
      </c>
      <c r="F1" s="27" t="s">
        <v>2</v>
      </c>
      <c r="G1" s="27" t="s">
        <v>3</v>
      </c>
      <c r="H1" s="27" t="s">
        <v>315</v>
      </c>
      <c r="I1" s="27" t="s">
        <v>527</v>
      </c>
      <c r="J1" s="27" t="s">
        <v>529</v>
      </c>
      <c r="K1" s="27" t="s">
        <v>528</v>
      </c>
    </row>
    <row r="2" spans="1:11" x14ac:dyDescent="0.2">
      <c r="A2" s="306" t="s">
        <v>4</v>
      </c>
      <c r="B2" s="306"/>
      <c r="C2" s="306"/>
      <c r="D2" s="7">
        <f t="shared" ref="D2:K2" si="0">SUM(D3:D8)</f>
        <v>6700</v>
      </c>
      <c r="E2" s="7">
        <f t="shared" si="0"/>
        <v>6700</v>
      </c>
      <c r="F2" s="7">
        <f t="shared" si="0"/>
        <v>13941</v>
      </c>
      <c r="G2" s="7">
        <f t="shared" si="0"/>
        <v>0</v>
      </c>
      <c r="H2" s="7">
        <f t="shared" si="0"/>
        <v>14809</v>
      </c>
      <c r="I2" s="7">
        <f t="shared" si="0"/>
        <v>18000</v>
      </c>
      <c r="J2" s="7">
        <f t="shared" si="0"/>
        <v>18024</v>
      </c>
      <c r="K2" s="7">
        <f t="shared" si="0"/>
        <v>18000</v>
      </c>
    </row>
    <row r="3" spans="1:11" x14ac:dyDescent="0.2">
      <c r="A3" s="12"/>
      <c r="B3" s="307" t="s">
        <v>428</v>
      </c>
      <c r="C3" s="307"/>
      <c r="D3" s="174">
        <v>500</v>
      </c>
      <c r="E3" s="174">
        <v>500</v>
      </c>
      <c r="F3" s="175">
        <v>117</v>
      </c>
      <c r="G3" s="175"/>
      <c r="H3" s="175">
        <v>1049</v>
      </c>
      <c r="I3" s="176">
        <v>1000</v>
      </c>
      <c r="J3" s="175">
        <v>1024</v>
      </c>
      <c r="K3" s="176">
        <v>1000</v>
      </c>
    </row>
    <row r="4" spans="1:11" x14ac:dyDescent="0.2">
      <c r="A4" s="12"/>
      <c r="B4" s="266" t="s">
        <v>429</v>
      </c>
      <c r="C4" s="266"/>
      <c r="D4" s="177">
        <v>0</v>
      </c>
      <c r="E4" s="177">
        <v>0</v>
      </c>
      <c r="F4" s="97">
        <v>0</v>
      </c>
      <c r="G4" s="97"/>
      <c r="H4" s="97">
        <v>0</v>
      </c>
      <c r="I4" s="178">
        <v>0</v>
      </c>
      <c r="J4" s="97">
        <v>0</v>
      </c>
      <c r="K4" s="178">
        <v>0</v>
      </c>
    </row>
    <row r="5" spans="1:11" x14ac:dyDescent="0.2">
      <c r="A5" s="12"/>
      <c r="B5" s="266" t="s">
        <v>430</v>
      </c>
      <c r="C5" s="266"/>
      <c r="D5" s="177">
        <v>1200</v>
      </c>
      <c r="E5" s="177">
        <v>1200</v>
      </c>
      <c r="F5" s="97">
        <v>1200</v>
      </c>
      <c r="G5" s="97"/>
      <c r="H5" s="97">
        <v>1200</v>
      </c>
      <c r="I5" s="178">
        <v>1200</v>
      </c>
      <c r="J5" s="97">
        <v>1200</v>
      </c>
      <c r="K5" s="178">
        <v>1200</v>
      </c>
    </row>
    <row r="6" spans="1:11" x14ac:dyDescent="0.2">
      <c r="A6" s="12"/>
      <c r="B6" s="266" t="s">
        <v>431</v>
      </c>
      <c r="C6" s="266"/>
      <c r="D6" s="177">
        <v>2500</v>
      </c>
      <c r="E6" s="177">
        <v>2500</v>
      </c>
      <c r="F6" s="97">
        <v>2750</v>
      </c>
      <c r="G6" s="97"/>
      <c r="H6" s="97">
        <v>3000</v>
      </c>
      <c r="I6" s="178">
        <v>3300</v>
      </c>
      <c r="J6" s="97">
        <v>3300</v>
      </c>
      <c r="K6" s="178">
        <v>3300</v>
      </c>
    </row>
    <row r="7" spans="1:11" x14ac:dyDescent="0.2">
      <c r="A7" s="12"/>
      <c r="B7" s="266" t="s">
        <v>432</v>
      </c>
      <c r="C7" s="266"/>
      <c r="D7" s="177">
        <v>0</v>
      </c>
      <c r="E7" s="177">
        <v>0</v>
      </c>
      <c r="F7" s="97">
        <v>0</v>
      </c>
      <c r="G7" s="97"/>
      <c r="H7" s="97">
        <v>0</v>
      </c>
      <c r="I7" s="178">
        <v>0</v>
      </c>
      <c r="J7" s="97">
        <v>0</v>
      </c>
      <c r="K7" s="178">
        <v>0</v>
      </c>
    </row>
    <row r="8" spans="1:11" x14ac:dyDescent="0.2">
      <c r="A8" s="12"/>
      <c r="B8" s="310" t="s">
        <v>433</v>
      </c>
      <c r="C8" s="310"/>
      <c r="D8" s="179">
        <v>2500</v>
      </c>
      <c r="E8" s="179">
        <v>2500</v>
      </c>
      <c r="F8" s="180">
        <v>9874</v>
      </c>
      <c r="G8" s="180"/>
      <c r="H8" s="180">
        <v>9560</v>
      </c>
      <c r="I8" s="181">
        <v>12500</v>
      </c>
      <c r="J8" s="181">
        <v>12500</v>
      </c>
      <c r="K8" s="181">
        <v>12500</v>
      </c>
    </row>
    <row r="9" spans="1:11" x14ac:dyDescent="0.2">
      <c r="A9" s="311" t="s">
        <v>156</v>
      </c>
      <c r="B9" s="311"/>
      <c r="C9" s="311"/>
      <c r="D9" s="10">
        <f t="shared" ref="D9:K9" si="1">D10+D15+D16+D17+D24+D28</f>
        <v>100450</v>
      </c>
      <c r="E9" s="10">
        <f t="shared" si="1"/>
        <v>99950</v>
      </c>
      <c r="F9" s="10">
        <f t="shared" si="1"/>
        <v>121264</v>
      </c>
      <c r="G9" s="10">
        <f t="shared" si="1"/>
        <v>127770</v>
      </c>
      <c r="H9" s="10">
        <f t="shared" si="1"/>
        <v>161328</v>
      </c>
      <c r="I9" s="10">
        <f t="shared" si="1"/>
        <v>194567</v>
      </c>
      <c r="J9" s="10">
        <f t="shared" si="1"/>
        <v>194591</v>
      </c>
      <c r="K9" s="10">
        <f t="shared" si="1"/>
        <v>199863</v>
      </c>
    </row>
    <row r="10" spans="1:11" x14ac:dyDescent="0.2">
      <c r="A10" s="182"/>
      <c r="B10" s="312" t="s">
        <v>434</v>
      </c>
      <c r="C10" s="312"/>
      <c r="D10" s="183">
        <f>SUM(D11:D14)</f>
        <v>14400</v>
      </c>
      <c r="E10" s="183">
        <f>SUM(E11:E14)</f>
        <v>15175</v>
      </c>
      <c r="F10" s="183">
        <f>SUM(F11:F14)</f>
        <v>20993</v>
      </c>
      <c r="G10" s="183">
        <v>21976</v>
      </c>
      <c r="H10" s="183">
        <f>SUM(H11:H14)</f>
        <v>35545</v>
      </c>
      <c r="I10" s="183">
        <f>SUM(I11:I14)</f>
        <v>38641</v>
      </c>
      <c r="J10" s="183">
        <f>SUM(J11:J14)</f>
        <v>38829</v>
      </c>
      <c r="K10" s="183">
        <f>SUM(K11:K14)</f>
        <v>40627</v>
      </c>
    </row>
    <row r="11" spans="1:11" x14ac:dyDescent="0.2">
      <c r="A11" s="28"/>
      <c r="B11" s="45"/>
      <c r="C11" s="184" t="s">
        <v>435</v>
      </c>
      <c r="D11" s="47">
        <v>5800</v>
      </c>
      <c r="E11" s="47">
        <v>6000</v>
      </c>
      <c r="F11" s="39">
        <v>10230</v>
      </c>
      <c r="G11" s="39"/>
      <c r="H11" s="39">
        <v>23996</v>
      </c>
      <c r="I11" s="39">
        <v>25632</v>
      </c>
      <c r="J11" s="39">
        <v>26966</v>
      </c>
      <c r="K11" s="39">
        <v>26389</v>
      </c>
    </row>
    <row r="12" spans="1:11" x14ac:dyDescent="0.2">
      <c r="A12" s="28"/>
      <c r="B12" s="45"/>
      <c r="C12" s="17" t="s">
        <v>436</v>
      </c>
      <c r="D12" s="47">
        <v>5500</v>
      </c>
      <c r="E12" s="47">
        <v>6000</v>
      </c>
      <c r="F12" s="39">
        <v>6609</v>
      </c>
      <c r="G12" s="39"/>
      <c r="H12" s="39">
        <v>7404</v>
      </c>
      <c r="I12" s="39">
        <v>8437</v>
      </c>
      <c r="J12" s="39">
        <v>7191</v>
      </c>
      <c r="K12" s="39">
        <v>8205</v>
      </c>
    </row>
    <row r="13" spans="1:11" x14ac:dyDescent="0.2">
      <c r="A13" s="28"/>
      <c r="B13" s="45"/>
      <c r="C13" s="17" t="s">
        <v>437</v>
      </c>
      <c r="D13" s="47">
        <v>1000</v>
      </c>
      <c r="E13" s="47">
        <v>900</v>
      </c>
      <c r="F13" s="39">
        <v>775</v>
      </c>
      <c r="G13" s="39"/>
      <c r="H13" s="39">
        <v>614</v>
      </c>
      <c r="I13" s="39">
        <v>1000</v>
      </c>
      <c r="J13" s="39">
        <v>1100</v>
      </c>
      <c r="K13" s="39">
        <v>1100</v>
      </c>
    </row>
    <row r="14" spans="1:11" x14ac:dyDescent="0.2">
      <c r="A14" s="28"/>
      <c r="B14" s="45"/>
      <c r="C14" s="17" t="s">
        <v>439</v>
      </c>
      <c r="D14" s="47">
        <v>2100</v>
      </c>
      <c r="E14" s="47">
        <v>2275</v>
      </c>
      <c r="F14" s="39">
        <v>3379</v>
      </c>
      <c r="G14" s="39"/>
      <c r="H14" s="39">
        <v>3531</v>
      </c>
      <c r="I14" s="39">
        <v>3572</v>
      </c>
      <c r="J14" s="39">
        <v>3572</v>
      </c>
      <c r="K14" s="39">
        <v>4933</v>
      </c>
    </row>
    <row r="15" spans="1:11" x14ac:dyDescent="0.2">
      <c r="A15" s="28"/>
      <c r="B15" s="302" t="s">
        <v>440</v>
      </c>
      <c r="C15" s="302"/>
      <c r="D15" s="38">
        <v>0</v>
      </c>
      <c r="E15" s="38">
        <v>0</v>
      </c>
      <c r="F15" s="185">
        <v>0</v>
      </c>
      <c r="G15" s="185">
        <v>0</v>
      </c>
      <c r="H15" s="185">
        <v>0</v>
      </c>
      <c r="I15" s="185">
        <v>18600</v>
      </c>
      <c r="J15" s="185">
        <v>18600</v>
      </c>
      <c r="K15" s="185">
        <v>17552</v>
      </c>
    </row>
    <row r="16" spans="1:11" x14ac:dyDescent="0.2">
      <c r="A16" s="12"/>
      <c r="B16" s="302" t="s">
        <v>441</v>
      </c>
      <c r="C16" s="302"/>
      <c r="D16" s="11">
        <v>750</v>
      </c>
      <c r="E16" s="11">
        <v>750</v>
      </c>
      <c r="F16" s="41">
        <v>389</v>
      </c>
      <c r="G16" s="41">
        <v>500</v>
      </c>
      <c r="H16" s="41">
        <v>1918</v>
      </c>
      <c r="I16" s="186">
        <v>3379</v>
      </c>
      <c r="J16" s="41">
        <v>4000</v>
      </c>
      <c r="K16" s="186">
        <v>7310</v>
      </c>
    </row>
    <row r="17" spans="1:11" x14ac:dyDescent="0.2">
      <c r="A17" s="12"/>
      <c r="B17" s="302" t="s">
        <v>442</v>
      </c>
      <c r="C17" s="302"/>
      <c r="D17" s="11">
        <f>SUM(D18:D23)</f>
        <v>12930</v>
      </c>
      <c r="E17" s="11">
        <f>SUM(E18:E23)</f>
        <v>11930</v>
      </c>
      <c r="F17" s="11">
        <f>SUM(F18:F23)</f>
        <v>26513</v>
      </c>
      <c r="G17" s="11">
        <v>7479</v>
      </c>
      <c r="H17" s="11">
        <f>SUM(H18:H23)</f>
        <v>25509</v>
      </c>
      <c r="I17" s="11">
        <f>SUM(I18:I23)</f>
        <v>31200</v>
      </c>
      <c r="J17" s="11">
        <f>SUM(J18:J23)</f>
        <v>31316</v>
      </c>
      <c r="K17" s="11">
        <f>SUM(K18:K23)</f>
        <v>31200</v>
      </c>
    </row>
    <row r="18" spans="1:11" ht="25.5" x14ac:dyDescent="0.2">
      <c r="A18" s="28"/>
      <c r="B18" s="17"/>
      <c r="C18" s="184" t="s">
        <v>443</v>
      </c>
      <c r="D18" s="47">
        <v>3630</v>
      </c>
      <c r="E18" s="47">
        <v>3630</v>
      </c>
      <c r="F18" s="39">
        <v>1989</v>
      </c>
      <c r="G18" s="39"/>
      <c r="H18" s="39">
        <v>3579</v>
      </c>
      <c r="I18" s="39">
        <v>3500</v>
      </c>
      <c r="J18" s="39">
        <v>3500</v>
      </c>
      <c r="K18" s="39">
        <v>3500</v>
      </c>
    </row>
    <row r="19" spans="1:11" x14ac:dyDescent="0.2">
      <c r="A19" s="28"/>
      <c r="B19" s="17"/>
      <c r="C19" s="17" t="s">
        <v>181</v>
      </c>
      <c r="D19" s="47">
        <v>0</v>
      </c>
      <c r="E19" s="47">
        <v>0</v>
      </c>
      <c r="F19" s="39">
        <v>0</v>
      </c>
      <c r="G19" s="39"/>
      <c r="H19" s="39">
        <v>0</v>
      </c>
      <c r="I19" s="39">
        <v>0</v>
      </c>
      <c r="J19" s="39">
        <v>0</v>
      </c>
      <c r="K19" s="39">
        <v>0</v>
      </c>
    </row>
    <row r="20" spans="1:11" x14ac:dyDescent="0.2">
      <c r="A20" s="28"/>
      <c r="B20" s="17"/>
      <c r="C20" s="17" t="s">
        <v>444</v>
      </c>
      <c r="D20" s="47">
        <v>2500</v>
      </c>
      <c r="E20" s="47">
        <v>2500</v>
      </c>
      <c r="F20" s="39">
        <v>2773</v>
      </c>
      <c r="G20" s="39"/>
      <c r="H20" s="39">
        <v>3025</v>
      </c>
      <c r="I20" s="39">
        <v>3100</v>
      </c>
      <c r="J20" s="39">
        <v>3300</v>
      </c>
      <c r="K20" s="39">
        <v>3300</v>
      </c>
    </row>
    <row r="21" spans="1:11" ht="25.5" x14ac:dyDescent="0.2">
      <c r="A21" s="28"/>
      <c r="B21" s="17"/>
      <c r="C21" s="17" t="s">
        <v>445</v>
      </c>
      <c r="D21" s="47">
        <v>600</v>
      </c>
      <c r="E21" s="47">
        <v>600</v>
      </c>
      <c r="F21" s="39">
        <v>3765</v>
      </c>
      <c r="G21" s="39"/>
      <c r="H21" s="39">
        <v>1610</v>
      </c>
      <c r="I21" s="39">
        <v>1500</v>
      </c>
      <c r="J21" s="39">
        <v>1616</v>
      </c>
      <c r="K21" s="39">
        <v>1500</v>
      </c>
    </row>
    <row r="22" spans="1:11" x14ac:dyDescent="0.2">
      <c r="A22" s="28"/>
      <c r="B22" s="17"/>
      <c r="C22" s="17" t="s">
        <v>446</v>
      </c>
      <c r="D22" s="47">
        <v>5000</v>
      </c>
      <c r="E22" s="47">
        <v>4000</v>
      </c>
      <c r="F22" s="39">
        <v>16786</v>
      </c>
      <c r="G22" s="39"/>
      <c r="H22" s="39">
        <v>16095</v>
      </c>
      <c r="I22" s="39">
        <v>21900</v>
      </c>
      <c r="J22" s="39">
        <v>21700</v>
      </c>
      <c r="K22" s="39">
        <v>21700</v>
      </c>
    </row>
    <row r="23" spans="1:11" ht="25.5" x14ac:dyDescent="0.2">
      <c r="A23" s="28"/>
      <c r="B23" s="17"/>
      <c r="C23" s="17" t="s">
        <v>447</v>
      </c>
      <c r="D23" s="47">
        <v>1200</v>
      </c>
      <c r="E23" s="47">
        <v>1200</v>
      </c>
      <c r="F23" s="39">
        <v>1200</v>
      </c>
      <c r="G23" s="39"/>
      <c r="H23" s="39">
        <v>1200</v>
      </c>
      <c r="I23" s="39">
        <v>1200</v>
      </c>
      <c r="J23" s="39">
        <v>1200</v>
      </c>
      <c r="K23" s="39">
        <v>1200</v>
      </c>
    </row>
    <row r="24" spans="1:11" x14ac:dyDescent="0.2">
      <c r="A24" s="182"/>
      <c r="B24" s="302" t="s">
        <v>448</v>
      </c>
      <c r="C24" s="302"/>
      <c r="D24" s="11">
        <f>SUM(D25:D27)</f>
        <v>30440</v>
      </c>
      <c r="E24" s="11">
        <f>SUM(E25:E27)</f>
        <v>29545</v>
      </c>
      <c r="F24" s="11">
        <f>SUM(F25:F27)</f>
        <v>20355</v>
      </c>
      <c r="G24" s="11">
        <v>31630</v>
      </c>
      <c r="H24" s="11">
        <f>SUM(H25:H27)</f>
        <v>26067</v>
      </c>
      <c r="I24" s="11">
        <f>SUM(I25:I27)</f>
        <v>29059</v>
      </c>
      <c r="J24" s="11">
        <f>SUM(J25:J27)</f>
        <v>27452</v>
      </c>
      <c r="K24" s="11">
        <f>SUM(K25:K27)</f>
        <v>26061</v>
      </c>
    </row>
    <row r="25" spans="1:11" x14ac:dyDescent="0.2">
      <c r="A25" s="187"/>
      <c r="B25" s="188"/>
      <c r="C25" s="184" t="s">
        <v>449</v>
      </c>
      <c r="D25" s="47">
        <v>23340</v>
      </c>
      <c r="E25" s="47">
        <v>24230</v>
      </c>
      <c r="F25" s="39">
        <v>17781</v>
      </c>
      <c r="G25" s="39"/>
      <c r="H25" s="39">
        <v>18812</v>
      </c>
      <c r="I25" s="39">
        <v>21316</v>
      </c>
      <c r="J25" s="39">
        <v>22997</v>
      </c>
      <c r="K25" s="39">
        <v>22374</v>
      </c>
    </row>
    <row r="26" spans="1:11" x14ac:dyDescent="0.2">
      <c r="A26" s="187"/>
      <c r="B26" s="188"/>
      <c r="C26" s="17" t="s">
        <v>450</v>
      </c>
      <c r="D26" s="47">
        <v>1500</v>
      </c>
      <c r="E26" s="47">
        <v>800</v>
      </c>
      <c r="F26" s="39">
        <v>0</v>
      </c>
      <c r="G26" s="39"/>
      <c r="H26" s="39">
        <v>0</v>
      </c>
      <c r="I26" s="39">
        <v>0</v>
      </c>
      <c r="J26" s="39">
        <v>300</v>
      </c>
      <c r="K26" s="39">
        <v>600</v>
      </c>
    </row>
    <row r="27" spans="1:11" x14ac:dyDescent="0.2">
      <c r="A27" s="187"/>
      <c r="B27" s="188"/>
      <c r="C27" s="17" t="s">
        <v>451</v>
      </c>
      <c r="D27" s="47">
        <v>5600</v>
      </c>
      <c r="E27" s="47">
        <v>4515</v>
      </c>
      <c r="F27" s="39">
        <v>2574</v>
      </c>
      <c r="G27" s="39"/>
      <c r="H27" s="39">
        <v>7255</v>
      </c>
      <c r="I27" s="39">
        <v>7743</v>
      </c>
      <c r="J27" s="39">
        <v>4155</v>
      </c>
      <c r="K27" s="39">
        <v>3087</v>
      </c>
    </row>
    <row r="28" spans="1:11" x14ac:dyDescent="0.2">
      <c r="A28" s="12"/>
      <c r="B28" s="302" t="s">
        <v>452</v>
      </c>
      <c r="C28" s="302"/>
      <c r="D28" s="11">
        <f>SUM(D29:D32)</f>
        <v>41930</v>
      </c>
      <c r="E28" s="11">
        <f>SUM(E29:E32)</f>
        <v>42550</v>
      </c>
      <c r="F28" s="11">
        <f>SUM(F29:F32)</f>
        <v>53014</v>
      </c>
      <c r="G28" s="11">
        <v>66185</v>
      </c>
      <c r="H28" s="11">
        <f>SUM(H29:H32)</f>
        <v>72289</v>
      </c>
      <c r="I28" s="11">
        <f t="shared" ref="I28" si="2">SUM(I29:I32)</f>
        <v>73688</v>
      </c>
      <c r="J28" s="11">
        <f>SUM(J29:J32)</f>
        <v>74394</v>
      </c>
      <c r="K28" s="11">
        <f>SUM(K29:K32)</f>
        <v>77113</v>
      </c>
    </row>
    <row r="29" spans="1:11" x14ac:dyDescent="0.2">
      <c r="A29" s="28"/>
      <c r="B29" s="189"/>
      <c r="C29" s="184" t="s">
        <v>453</v>
      </c>
      <c r="D29" s="47">
        <v>31530</v>
      </c>
      <c r="E29" s="47">
        <v>31650</v>
      </c>
      <c r="F29" s="39">
        <v>40052</v>
      </c>
      <c r="G29" s="39"/>
      <c r="H29" s="39">
        <v>55379</v>
      </c>
      <c r="I29" s="39">
        <v>55668</v>
      </c>
      <c r="J29" s="39">
        <v>57180</v>
      </c>
      <c r="K29" s="39">
        <v>58391</v>
      </c>
    </row>
    <row r="30" spans="1:11" x14ac:dyDescent="0.2">
      <c r="A30" s="28"/>
      <c r="B30" s="189"/>
      <c r="C30" s="17" t="s">
        <v>454</v>
      </c>
      <c r="D30" s="47">
        <v>5800</v>
      </c>
      <c r="E30" s="47">
        <v>5600</v>
      </c>
      <c r="F30" s="39">
        <v>5420</v>
      </c>
      <c r="G30" s="39"/>
      <c r="H30" s="39">
        <v>8172</v>
      </c>
      <c r="I30" s="39">
        <v>8797</v>
      </c>
      <c r="J30" s="39">
        <v>7991</v>
      </c>
      <c r="K30" s="39">
        <v>9110</v>
      </c>
    </row>
    <row r="31" spans="1:11" x14ac:dyDescent="0.2">
      <c r="A31" s="28"/>
      <c r="B31" s="189"/>
      <c r="C31" s="17" t="s">
        <v>455</v>
      </c>
      <c r="D31" s="47">
        <v>3700</v>
      </c>
      <c r="E31" s="47">
        <v>4400</v>
      </c>
      <c r="F31" s="39">
        <v>6386</v>
      </c>
      <c r="G31" s="39"/>
      <c r="H31" s="39">
        <v>7849</v>
      </c>
      <c r="I31" s="39">
        <v>8123</v>
      </c>
      <c r="J31" s="39">
        <v>8123</v>
      </c>
      <c r="K31" s="39">
        <v>8512</v>
      </c>
    </row>
    <row r="32" spans="1:11" x14ac:dyDescent="0.2">
      <c r="A32" s="28"/>
      <c r="B32" s="189"/>
      <c r="C32" s="17" t="s">
        <v>456</v>
      </c>
      <c r="D32" s="47">
        <v>900</v>
      </c>
      <c r="E32" s="47">
        <v>900</v>
      </c>
      <c r="F32" s="39">
        <v>1156</v>
      </c>
      <c r="G32" s="39"/>
      <c r="H32" s="39">
        <v>889</v>
      </c>
      <c r="I32" s="39">
        <v>1100</v>
      </c>
      <c r="J32" s="39">
        <v>1100</v>
      </c>
      <c r="K32" s="39">
        <v>1100</v>
      </c>
    </row>
    <row r="33" spans="1:11" x14ac:dyDescent="0.2">
      <c r="A33" s="12"/>
      <c r="B33" s="12"/>
      <c r="C33" s="12"/>
      <c r="D33" s="12"/>
      <c r="E33" s="12"/>
      <c r="F33" s="190"/>
      <c r="G33" s="190"/>
      <c r="H33" s="190"/>
      <c r="I33" s="190"/>
      <c r="J33" s="190"/>
      <c r="K33" s="190"/>
    </row>
    <row r="34" spans="1:11" x14ac:dyDescent="0.2">
      <c r="A34" s="313" t="s">
        <v>457</v>
      </c>
      <c r="B34" s="313"/>
      <c r="C34" s="313"/>
      <c r="D34" s="191">
        <v>93750</v>
      </c>
      <c r="E34" s="191">
        <v>93750</v>
      </c>
      <c r="F34" s="191">
        <v>97257</v>
      </c>
      <c r="G34" s="191">
        <v>132457</v>
      </c>
      <c r="H34" s="191">
        <v>146519</v>
      </c>
      <c r="I34" s="191">
        <f t="shared" ref="I34" si="3">I35</f>
        <v>176567</v>
      </c>
      <c r="J34" s="191">
        <v>176567</v>
      </c>
      <c r="K34" s="191">
        <v>181863</v>
      </c>
    </row>
    <row r="35" spans="1:11" x14ac:dyDescent="0.2">
      <c r="A35" s="6"/>
      <c r="B35" s="308" t="s">
        <v>458</v>
      </c>
      <c r="C35" s="309"/>
      <c r="D35" s="192">
        <v>93750</v>
      </c>
      <c r="E35" s="192">
        <v>93750</v>
      </c>
      <c r="F35" s="192">
        <v>97257</v>
      </c>
      <c r="G35" s="192">
        <v>132457</v>
      </c>
      <c r="H35" s="192">
        <v>146519</v>
      </c>
      <c r="I35" s="192">
        <v>176567</v>
      </c>
      <c r="J35" s="221">
        <v>176567</v>
      </c>
      <c r="K35" s="192">
        <v>181863</v>
      </c>
    </row>
  </sheetData>
  <mergeCells count="17">
    <mergeCell ref="B35:C35"/>
    <mergeCell ref="B7:C7"/>
    <mergeCell ref="B8:C8"/>
    <mergeCell ref="A9:C9"/>
    <mergeCell ref="B10:C10"/>
    <mergeCell ref="B15:C15"/>
    <mergeCell ref="B16:C16"/>
    <mergeCell ref="B17:C17"/>
    <mergeCell ref="B24:C24"/>
    <mergeCell ref="B28:C28"/>
    <mergeCell ref="A34:C34"/>
    <mergeCell ref="B6:C6"/>
    <mergeCell ref="A1:C1"/>
    <mergeCell ref="A2:C2"/>
    <mergeCell ref="B3:C3"/>
    <mergeCell ref="B4:C4"/>
    <mergeCell ref="B5:C5"/>
  </mergeCells>
  <conditionalFormatting sqref="D1:K1 I11:K15 F11:H16">
    <cfRule type="cellIs" dxfId="6" priority="1" operator="lessThan">
      <formula>0</formula>
    </cfRule>
  </conditionalFormatting>
  <conditionalFormatting sqref="F3:H8 J3:K8 J16:K16 F18:K23 F25:K27 F29:K32">
    <cfRule type="cellIs" dxfId="5" priority="2"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5561C-2DB7-4C33-BD98-11ED4A3E5A15}">
  <dimension ref="A1:K58"/>
  <sheetViews>
    <sheetView workbookViewId="0">
      <selection activeCell="J9" sqref="J9"/>
    </sheetView>
  </sheetViews>
  <sheetFormatPr defaultRowHeight="12.75" x14ac:dyDescent="0.2"/>
  <cols>
    <col min="1" max="1" width="7" customWidth="1"/>
    <col min="3" max="3" width="33.33203125" customWidth="1"/>
    <col min="4" max="4" width="18.6640625" customWidth="1"/>
    <col min="5" max="5" width="18.83203125" customWidth="1"/>
    <col min="6" max="7" width="18.6640625" customWidth="1"/>
    <col min="8" max="9" width="18.33203125" customWidth="1"/>
    <col min="10" max="10" width="18.5" customWidth="1"/>
    <col min="11" max="11" width="18.83203125" customWidth="1"/>
  </cols>
  <sheetData>
    <row r="1" spans="1:11" ht="25.5" x14ac:dyDescent="0.2">
      <c r="A1" s="314" t="s">
        <v>459</v>
      </c>
      <c r="B1" s="314"/>
      <c r="C1" s="314"/>
      <c r="D1" s="193" t="s">
        <v>0</v>
      </c>
      <c r="E1" s="193" t="s">
        <v>1</v>
      </c>
      <c r="F1" s="193" t="s">
        <v>2</v>
      </c>
      <c r="G1" s="27" t="s">
        <v>3</v>
      </c>
      <c r="H1" s="27" t="s">
        <v>315</v>
      </c>
      <c r="I1" s="27" t="s">
        <v>527</v>
      </c>
      <c r="J1" s="144" t="s">
        <v>529</v>
      </c>
      <c r="K1" s="144" t="s">
        <v>528</v>
      </c>
    </row>
    <row r="2" spans="1:11" x14ac:dyDescent="0.2">
      <c r="A2" s="306" t="s">
        <v>4</v>
      </c>
      <c r="B2" s="306"/>
      <c r="C2" s="306"/>
      <c r="D2" s="7">
        <v>0</v>
      </c>
      <c r="E2" s="7">
        <v>0</v>
      </c>
      <c r="F2" s="7">
        <v>0</v>
      </c>
      <c r="G2" s="7">
        <v>0</v>
      </c>
      <c r="H2" s="7">
        <f>SUM(H3:H8)</f>
        <v>600578</v>
      </c>
      <c r="I2" s="7">
        <f>SUM(I3:I8)</f>
        <v>861333</v>
      </c>
      <c r="J2" s="7">
        <f>SUM(J3:J8)</f>
        <v>816686</v>
      </c>
      <c r="K2" s="7">
        <f>SUM(K3:K8)</f>
        <v>1154027</v>
      </c>
    </row>
    <row r="3" spans="1:11" x14ac:dyDescent="0.2">
      <c r="A3" s="194"/>
      <c r="B3" s="307" t="s">
        <v>428</v>
      </c>
      <c r="C3" s="307"/>
      <c r="D3" s="177"/>
      <c r="E3" s="177"/>
      <c r="F3" s="177"/>
      <c r="G3" s="97"/>
      <c r="H3" s="97">
        <v>17982</v>
      </c>
      <c r="I3" s="178">
        <v>13590</v>
      </c>
      <c r="J3" s="178">
        <v>15348</v>
      </c>
      <c r="K3" s="178">
        <v>13590</v>
      </c>
    </row>
    <row r="4" spans="1:11" x14ac:dyDescent="0.2">
      <c r="A4" s="194"/>
      <c r="B4" s="266" t="s">
        <v>460</v>
      </c>
      <c r="C4" s="266"/>
      <c r="D4" s="177"/>
      <c r="E4" s="177"/>
      <c r="F4" s="177"/>
      <c r="G4" s="97"/>
      <c r="H4" s="97">
        <v>28373</v>
      </c>
      <c r="I4" s="178">
        <v>26575</v>
      </c>
      <c r="J4" s="178">
        <v>28757</v>
      </c>
      <c r="K4" s="178">
        <v>29000</v>
      </c>
    </row>
    <row r="5" spans="1:11" x14ac:dyDescent="0.2">
      <c r="A5" s="194"/>
      <c r="B5" s="266" t="s">
        <v>461</v>
      </c>
      <c r="C5" s="266"/>
      <c r="D5" s="177"/>
      <c r="E5" s="177"/>
      <c r="F5" s="177"/>
      <c r="G5" s="97"/>
      <c r="H5" s="97">
        <v>117385</v>
      </c>
      <c r="I5" s="178">
        <v>109500</v>
      </c>
      <c r="J5" s="178">
        <v>105375</v>
      </c>
      <c r="K5" s="178">
        <v>108000</v>
      </c>
    </row>
    <row r="6" spans="1:11" x14ac:dyDescent="0.2">
      <c r="A6" s="194"/>
      <c r="B6" s="266" t="s">
        <v>462</v>
      </c>
      <c r="C6" s="266"/>
      <c r="D6" s="177"/>
      <c r="E6" s="177"/>
      <c r="F6" s="177"/>
      <c r="G6" s="97"/>
      <c r="H6" s="97">
        <v>182046</v>
      </c>
      <c r="I6" s="178">
        <v>224500</v>
      </c>
      <c r="J6" s="178">
        <v>200038</v>
      </c>
      <c r="K6" s="178">
        <v>219400</v>
      </c>
    </row>
    <row r="7" spans="1:11" x14ac:dyDescent="0.2">
      <c r="A7" s="194"/>
      <c r="B7" s="266" t="s">
        <v>431</v>
      </c>
      <c r="C7" s="266"/>
      <c r="D7" s="177"/>
      <c r="E7" s="177"/>
      <c r="F7" s="177"/>
      <c r="G7" s="97"/>
      <c r="H7" s="97">
        <v>112734</v>
      </c>
      <c r="I7" s="178">
        <v>315203</v>
      </c>
      <c r="J7" s="178">
        <v>270203</v>
      </c>
      <c r="K7" s="178">
        <v>461445</v>
      </c>
    </row>
    <row r="8" spans="1:11" x14ac:dyDescent="0.2">
      <c r="A8" s="194"/>
      <c r="B8" s="310" t="s">
        <v>463</v>
      </c>
      <c r="C8" s="310"/>
      <c r="D8" s="177"/>
      <c r="E8" s="177"/>
      <c r="F8" s="177"/>
      <c r="G8" s="97"/>
      <c r="H8" s="97">
        <v>142058</v>
      </c>
      <c r="I8" s="178">
        <v>171965</v>
      </c>
      <c r="J8" s="178">
        <v>196965</v>
      </c>
      <c r="K8" s="178">
        <v>322592</v>
      </c>
    </row>
    <row r="9" spans="1:11" x14ac:dyDescent="0.2">
      <c r="A9" s="316" t="s">
        <v>156</v>
      </c>
      <c r="B9" s="316"/>
      <c r="C9" s="316"/>
      <c r="D9" s="10">
        <f>D10+D19+D26+D34+D38+D44+D50+D51+D52+D53</f>
        <v>959960</v>
      </c>
      <c r="E9" s="10">
        <f>E10+E19+E26+E34+E38+E44+E50+E51+E52+E53</f>
        <v>1041086</v>
      </c>
      <c r="F9" s="10">
        <f>F10+F19+F26+F34+F38+F44+F50+F51+F52+F53</f>
        <v>1003912</v>
      </c>
      <c r="G9" s="10">
        <f>G10+G19+G26+G34+G38+G44+G50+G52++G53</f>
        <v>1150553</v>
      </c>
      <c r="H9" s="10">
        <f>H10+H19+H26+H34+H38+H44+H50+H52++H53</f>
        <v>1576102</v>
      </c>
      <c r="I9" s="10">
        <v>1370770</v>
      </c>
      <c r="J9" s="10">
        <v>1725478</v>
      </c>
      <c r="K9" s="10">
        <v>1411892</v>
      </c>
    </row>
    <row r="10" spans="1:11" x14ac:dyDescent="0.2">
      <c r="A10" s="12"/>
      <c r="B10" s="317" t="s">
        <v>434</v>
      </c>
      <c r="C10" s="317"/>
      <c r="D10" s="11">
        <v>236968</v>
      </c>
      <c r="E10" s="11">
        <v>230784</v>
      </c>
      <c r="F10" s="11">
        <v>260934</v>
      </c>
      <c r="G10" s="11">
        <v>171652</v>
      </c>
      <c r="H10" s="11">
        <f>SUM(H11:H18)</f>
        <v>185070</v>
      </c>
      <c r="I10" s="11">
        <f>SUM(I11:I18)</f>
        <v>241398</v>
      </c>
      <c r="J10" s="11">
        <f>SUM(J11:J18)</f>
        <v>221280</v>
      </c>
      <c r="K10" s="11">
        <f>SUM(K11:K18)</f>
        <v>221775</v>
      </c>
    </row>
    <row r="11" spans="1:11" x14ac:dyDescent="0.2">
      <c r="A11" s="28"/>
      <c r="B11" s="17"/>
      <c r="C11" s="17" t="s">
        <v>464</v>
      </c>
      <c r="D11" s="47"/>
      <c r="E11" s="47"/>
      <c r="F11" s="47"/>
      <c r="G11" s="39"/>
      <c r="H11" s="231">
        <v>108079</v>
      </c>
      <c r="I11" s="39">
        <v>175859</v>
      </c>
      <c r="J11" s="39">
        <v>143000</v>
      </c>
      <c r="K11" s="39">
        <v>149247</v>
      </c>
    </row>
    <row r="12" spans="1:11" x14ac:dyDescent="0.2">
      <c r="A12" s="28"/>
      <c r="B12" s="17"/>
      <c r="C12" s="17" t="s">
        <v>465</v>
      </c>
      <c r="D12" s="47"/>
      <c r="E12" s="47"/>
      <c r="F12" s="47"/>
      <c r="G12" s="39"/>
      <c r="H12" s="231">
        <v>20161</v>
      </c>
      <c r="I12" s="39">
        <v>23831</v>
      </c>
      <c r="J12" s="39">
        <v>24000</v>
      </c>
      <c r="K12" s="39">
        <v>24254</v>
      </c>
    </row>
    <row r="13" spans="1:11" x14ac:dyDescent="0.2">
      <c r="A13" s="28"/>
      <c r="B13" s="17"/>
      <c r="C13" s="17" t="s">
        <v>466</v>
      </c>
      <c r="D13" s="47"/>
      <c r="E13" s="47"/>
      <c r="F13" s="47"/>
      <c r="G13" s="39"/>
      <c r="H13" s="231">
        <v>1384</v>
      </c>
      <c r="I13" s="39">
        <v>1200</v>
      </c>
      <c r="J13" s="39">
        <v>1850</v>
      </c>
      <c r="K13" s="39">
        <v>1400</v>
      </c>
    </row>
    <row r="14" spans="1:11" x14ac:dyDescent="0.2">
      <c r="A14" s="28"/>
      <c r="B14" s="17"/>
      <c r="C14" s="17" t="s">
        <v>467</v>
      </c>
      <c r="D14" s="47"/>
      <c r="E14" s="47"/>
      <c r="F14" s="47"/>
      <c r="G14" s="39"/>
      <c r="H14" s="231">
        <v>5743</v>
      </c>
      <c r="I14" s="39">
        <v>7000</v>
      </c>
      <c r="J14" s="39">
        <v>7689</v>
      </c>
      <c r="K14" s="39">
        <v>8000</v>
      </c>
    </row>
    <row r="15" spans="1:11" x14ac:dyDescent="0.2">
      <c r="A15" s="28"/>
      <c r="B15" s="17"/>
      <c r="C15" s="17" t="s">
        <v>439</v>
      </c>
      <c r="D15" s="47"/>
      <c r="E15" s="47"/>
      <c r="F15" s="47"/>
      <c r="G15" s="39"/>
      <c r="H15" s="231">
        <v>1796</v>
      </c>
      <c r="I15" s="39">
        <v>1682</v>
      </c>
      <c r="J15" s="39">
        <v>1800</v>
      </c>
      <c r="K15" s="39">
        <v>1867</v>
      </c>
    </row>
    <row r="16" spans="1:11" x14ac:dyDescent="0.2">
      <c r="A16" s="28"/>
      <c r="B16" s="17"/>
      <c r="C16" s="17" t="s">
        <v>468</v>
      </c>
      <c r="D16" s="47"/>
      <c r="E16" s="47"/>
      <c r="F16" s="47"/>
      <c r="G16" s="39"/>
      <c r="H16" s="231">
        <v>8888</v>
      </c>
      <c r="I16" s="39">
        <v>9326</v>
      </c>
      <c r="J16" s="39">
        <v>7941</v>
      </c>
      <c r="K16" s="39">
        <v>7477</v>
      </c>
    </row>
    <row r="17" spans="1:11" x14ac:dyDescent="0.2">
      <c r="A17" s="28"/>
      <c r="B17" s="17"/>
      <c r="C17" s="17" t="s">
        <v>469</v>
      </c>
      <c r="D17" s="47"/>
      <c r="E17" s="47"/>
      <c r="F17" s="47"/>
      <c r="G17" s="39"/>
      <c r="H17" s="231">
        <v>23856</v>
      </c>
      <c r="I17" s="39">
        <v>14000</v>
      </c>
      <c r="J17" s="39">
        <v>21000</v>
      </c>
      <c r="K17" s="39">
        <v>21030</v>
      </c>
    </row>
    <row r="18" spans="1:11" x14ac:dyDescent="0.2">
      <c r="A18" s="28"/>
      <c r="B18" s="17"/>
      <c r="C18" s="17" t="s">
        <v>438</v>
      </c>
      <c r="D18" s="47"/>
      <c r="E18" s="47"/>
      <c r="F18" s="47"/>
      <c r="G18" s="39"/>
      <c r="H18" s="231">
        <v>15163</v>
      </c>
      <c r="I18" s="39">
        <v>8500</v>
      </c>
      <c r="J18" s="39">
        <v>14000</v>
      </c>
      <c r="K18" s="39">
        <v>8500</v>
      </c>
    </row>
    <row r="19" spans="1:11" x14ac:dyDescent="0.2">
      <c r="A19" s="12"/>
      <c r="B19" s="315" t="s">
        <v>441</v>
      </c>
      <c r="C19" s="315"/>
      <c r="D19" s="11">
        <v>67759</v>
      </c>
      <c r="E19" s="11">
        <v>0</v>
      </c>
      <c r="F19" s="11">
        <v>27055</v>
      </c>
      <c r="G19" s="11">
        <v>47232</v>
      </c>
      <c r="H19" s="11">
        <f>SUM(H20:H25)</f>
        <v>284680</v>
      </c>
      <c r="I19" s="11">
        <f>SUM(I20:I25)</f>
        <v>442117</v>
      </c>
      <c r="J19" s="11">
        <f>SUM(J20:J25)</f>
        <v>334534</v>
      </c>
      <c r="K19" s="11">
        <f>SUM(K20:K25)</f>
        <v>568717</v>
      </c>
    </row>
    <row r="20" spans="1:11" x14ac:dyDescent="0.2">
      <c r="A20" s="28"/>
      <c r="B20" s="195"/>
      <c r="C20" s="17" t="s">
        <v>464</v>
      </c>
      <c r="D20" s="47"/>
      <c r="E20" s="47"/>
      <c r="F20" s="47"/>
      <c r="G20" s="39"/>
      <c r="H20" s="231">
        <v>200363</v>
      </c>
      <c r="I20" s="39">
        <v>385849</v>
      </c>
      <c r="J20" s="39">
        <v>242922</v>
      </c>
      <c r="K20" s="39">
        <v>354015</v>
      </c>
    </row>
    <row r="21" spans="1:11" x14ac:dyDescent="0.2">
      <c r="A21" s="28"/>
      <c r="B21" s="195"/>
      <c r="C21" s="17" t="s">
        <v>470</v>
      </c>
      <c r="D21" s="47"/>
      <c r="E21" s="47"/>
      <c r="F21" s="47"/>
      <c r="G21" s="39"/>
      <c r="H21" s="231">
        <v>35862</v>
      </c>
      <c r="I21" s="39">
        <v>27200</v>
      </c>
      <c r="J21" s="39">
        <v>30000</v>
      </c>
      <c r="K21" s="39">
        <v>42994</v>
      </c>
    </row>
    <row r="22" spans="1:11" x14ac:dyDescent="0.2">
      <c r="A22" s="28"/>
      <c r="B22" s="195"/>
      <c r="C22" s="17" t="s">
        <v>471</v>
      </c>
      <c r="D22" s="47"/>
      <c r="E22" s="47"/>
      <c r="F22" s="47"/>
      <c r="G22" s="39"/>
      <c r="H22" s="231">
        <v>2314</v>
      </c>
      <c r="I22" s="39">
        <v>3600</v>
      </c>
      <c r="J22" s="39">
        <v>5112</v>
      </c>
      <c r="K22" s="39">
        <v>6000</v>
      </c>
    </row>
    <row r="23" spans="1:11" x14ac:dyDescent="0.2">
      <c r="A23" s="28"/>
      <c r="B23" s="195"/>
      <c r="C23" s="17" t="s">
        <v>472</v>
      </c>
      <c r="D23" s="47"/>
      <c r="E23" s="47"/>
      <c r="F23" s="47"/>
      <c r="G23" s="39"/>
      <c r="H23" s="231">
        <v>25063</v>
      </c>
      <c r="I23" s="39">
        <v>0</v>
      </c>
      <c r="J23" s="39">
        <v>31000</v>
      </c>
      <c r="K23" s="39">
        <v>135000</v>
      </c>
    </row>
    <row r="24" spans="1:11" x14ac:dyDescent="0.2">
      <c r="A24" s="28"/>
      <c r="B24" s="195"/>
      <c r="C24" s="17" t="s">
        <v>473</v>
      </c>
      <c r="D24" s="47"/>
      <c r="E24" s="47"/>
      <c r="F24" s="47"/>
      <c r="G24" s="39"/>
      <c r="H24" s="231">
        <v>16981</v>
      </c>
      <c r="I24" s="39">
        <v>21138</v>
      </c>
      <c r="J24" s="39">
        <v>21000</v>
      </c>
      <c r="K24" s="39">
        <v>26208</v>
      </c>
    </row>
    <row r="25" spans="1:11" x14ac:dyDescent="0.2">
      <c r="A25" s="28"/>
      <c r="B25" s="195"/>
      <c r="C25" s="17" t="s">
        <v>474</v>
      </c>
      <c r="D25" s="47"/>
      <c r="E25" s="47"/>
      <c r="F25" s="47"/>
      <c r="G25" s="39"/>
      <c r="H25" s="231">
        <v>4097</v>
      </c>
      <c r="I25" s="39">
        <v>4330</v>
      </c>
      <c r="J25" s="39">
        <v>4500</v>
      </c>
      <c r="K25" s="39">
        <v>4500</v>
      </c>
    </row>
    <row r="26" spans="1:11" x14ac:dyDescent="0.2">
      <c r="A26" s="12"/>
      <c r="B26" s="315" t="s">
        <v>442</v>
      </c>
      <c r="C26" s="315"/>
      <c r="D26" s="11">
        <v>296977</v>
      </c>
      <c r="E26" s="11">
        <v>279660</v>
      </c>
      <c r="F26" s="11">
        <v>306663</v>
      </c>
      <c r="G26" s="11">
        <v>330170</v>
      </c>
      <c r="H26" s="11">
        <f>SUM(H27:H33)</f>
        <v>307874</v>
      </c>
      <c r="I26" s="11">
        <f>SUM(I27:I33)</f>
        <v>430397</v>
      </c>
      <c r="J26" s="11">
        <f>SUM(J27:J33)</f>
        <v>416696</v>
      </c>
      <c r="K26" s="11">
        <f>SUM(K27:K33)</f>
        <v>516033</v>
      </c>
    </row>
    <row r="27" spans="1:11" x14ac:dyDescent="0.2">
      <c r="A27" s="28"/>
      <c r="B27" s="195"/>
      <c r="C27" s="17" t="s">
        <v>464</v>
      </c>
      <c r="D27" s="47"/>
      <c r="E27" s="47"/>
      <c r="F27" s="47"/>
      <c r="G27" s="39"/>
      <c r="H27" s="231">
        <v>184908</v>
      </c>
      <c r="I27" s="39">
        <v>316426</v>
      </c>
      <c r="J27" s="39">
        <v>284774</v>
      </c>
      <c r="K27" s="39">
        <v>397671</v>
      </c>
    </row>
    <row r="28" spans="1:11" x14ac:dyDescent="0.2">
      <c r="A28" s="28"/>
      <c r="B28" s="195"/>
      <c r="C28" s="17" t="s">
        <v>475</v>
      </c>
      <c r="D28" s="47"/>
      <c r="E28" s="47"/>
      <c r="F28" s="47"/>
      <c r="G28" s="39"/>
      <c r="H28" s="231">
        <v>33620</v>
      </c>
      <c r="I28" s="39">
        <v>32000</v>
      </c>
      <c r="J28" s="39">
        <v>39000</v>
      </c>
      <c r="K28" s="39">
        <v>39000</v>
      </c>
    </row>
    <row r="29" spans="1:11" x14ac:dyDescent="0.2">
      <c r="A29" s="28"/>
      <c r="B29" s="195"/>
      <c r="C29" s="17" t="s">
        <v>476</v>
      </c>
      <c r="D29" s="47"/>
      <c r="E29" s="47"/>
      <c r="F29" s="47"/>
      <c r="G29" s="39"/>
      <c r="H29" s="231">
        <v>6776</v>
      </c>
      <c r="I29" s="39">
        <v>5430</v>
      </c>
      <c r="J29" s="39">
        <v>6954</v>
      </c>
      <c r="K29" s="39">
        <v>3740</v>
      </c>
    </row>
    <row r="30" spans="1:11" x14ac:dyDescent="0.2">
      <c r="A30" s="28"/>
      <c r="B30" s="195"/>
      <c r="C30" s="17" t="s">
        <v>439</v>
      </c>
      <c r="D30" s="47"/>
      <c r="E30" s="47"/>
      <c r="F30" s="47"/>
      <c r="G30" s="39"/>
      <c r="H30" s="231">
        <v>13170</v>
      </c>
      <c r="I30" s="39">
        <v>14889</v>
      </c>
      <c r="J30" s="39">
        <v>12868</v>
      </c>
      <c r="K30" s="39">
        <v>12451</v>
      </c>
    </row>
    <row r="31" spans="1:11" x14ac:dyDescent="0.2">
      <c r="A31" s="28"/>
      <c r="B31" s="195"/>
      <c r="C31" s="17" t="s">
        <v>446</v>
      </c>
      <c r="D31" s="47"/>
      <c r="E31" s="47"/>
      <c r="F31" s="47"/>
      <c r="G31" s="39"/>
      <c r="H31" s="231">
        <v>39855</v>
      </c>
      <c r="I31" s="39">
        <v>32000</v>
      </c>
      <c r="J31" s="39">
        <v>42000</v>
      </c>
      <c r="K31" s="39">
        <v>32000</v>
      </c>
    </row>
    <row r="32" spans="1:11" x14ac:dyDescent="0.2">
      <c r="A32" s="28"/>
      <c r="B32" s="195"/>
      <c r="C32" s="17" t="s">
        <v>477</v>
      </c>
      <c r="D32" s="47"/>
      <c r="E32" s="47"/>
      <c r="F32" s="47"/>
      <c r="G32" s="39"/>
      <c r="H32" s="231">
        <v>28608</v>
      </c>
      <c r="I32" s="39">
        <v>28552</v>
      </c>
      <c r="J32" s="39">
        <v>30000</v>
      </c>
      <c r="K32" s="39">
        <v>30071</v>
      </c>
    </row>
    <row r="33" spans="1:11" x14ac:dyDescent="0.2">
      <c r="A33" s="28"/>
      <c r="B33" s="195"/>
      <c r="C33" s="17" t="s">
        <v>478</v>
      </c>
      <c r="D33" s="47"/>
      <c r="E33" s="47"/>
      <c r="F33" s="47"/>
      <c r="G33" s="39"/>
      <c r="H33" s="231">
        <v>937</v>
      </c>
      <c r="I33" s="39">
        <v>1100</v>
      </c>
      <c r="J33" s="39">
        <v>1100</v>
      </c>
      <c r="K33" s="39">
        <v>1100</v>
      </c>
    </row>
    <row r="34" spans="1:11" x14ac:dyDescent="0.2">
      <c r="A34" s="12"/>
      <c r="B34" s="315" t="s">
        <v>440</v>
      </c>
      <c r="C34" s="315"/>
      <c r="D34" s="11">
        <v>180794</v>
      </c>
      <c r="E34" s="11">
        <v>186395</v>
      </c>
      <c r="F34" s="11">
        <v>215507</v>
      </c>
      <c r="G34" s="11">
        <v>272204</v>
      </c>
      <c r="H34" s="11">
        <f>SUM(H35:H37)</f>
        <v>265456</v>
      </c>
      <c r="I34" s="11">
        <f>SUM(I35:I37)</f>
        <v>354630</v>
      </c>
      <c r="J34" s="11">
        <f>SUM(J35:J37)</f>
        <v>334242</v>
      </c>
      <c r="K34" s="11">
        <f>SUM(K35:K37)</f>
        <v>375018</v>
      </c>
    </row>
    <row r="35" spans="1:11" x14ac:dyDescent="0.2">
      <c r="A35" s="28"/>
      <c r="B35" s="195"/>
      <c r="C35" s="17" t="s">
        <v>464</v>
      </c>
      <c r="D35" s="47"/>
      <c r="E35" s="47"/>
      <c r="F35" s="47"/>
      <c r="G35" s="39"/>
      <c r="H35" s="39">
        <v>211125</v>
      </c>
      <c r="I35" s="39">
        <v>336909</v>
      </c>
      <c r="J35" s="39">
        <v>318242</v>
      </c>
      <c r="K35" s="39">
        <v>355420</v>
      </c>
    </row>
    <row r="36" spans="1:11" x14ac:dyDescent="0.2">
      <c r="A36" s="28"/>
      <c r="B36" s="195"/>
      <c r="C36" s="17" t="s">
        <v>473</v>
      </c>
      <c r="D36" s="47"/>
      <c r="E36" s="47"/>
      <c r="F36" s="47"/>
      <c r="G36" s="39"/>
      <c r="H36" s="39">
        <v>14086</v>
      </c>
      <c r="I36" s="39">
        <v>17721</v>
      </c>
      <c r="J36" s="39">
        <v>16000</v>
      </c>
      <c r="K36" s="39">
        <v>19598</v>
      </c>
    </row>
    <row r="37" spans="1:11" x14ac:dyDescent="0.2">
      <c r="A37" s="28"/>
      <c r="B37" s="195"/>
      <c r="C37" s="17" t="s">
        <v>446</v>
      </c>
      <c r="D37" s="47"/>
      <c r="E37" s="47"/>
      <c r="F37" s="47"/>
      <c r="G37" s="39"/>
      <c r="H37" s="39">
        <v>40245</v>
      </c>
      <c r="I37" s="39">
        <v>0</v>
      </c>
      <c r="J37" s="39">
        <v>0</v>
      </c>
      <c r="K37" s="39">
        <v>0</v>
      </c>
    </row>
    <row r="38" spans="1:11" x14ac:dyDescent="0.2">
      <c r="A38" s="12"/>
      <c r="B38" s="315" t="s">
        <v>462</v>
      </c>
      <c r="C38" s="315"/>
      <c r="D38" s="11">
        <v>0</v>
      </c>
      <c r="E38" s="11">
        <v>30783</v>
      </c>
      <c r="F38" s="11">
        <v>0</v>
      </c>
      <c r="G38" s="11">
        <v>96445</v>
      </c>
      <c r="H38" s="11">
        <f>SUM(H39:H43)</f>
        <v>110474</v>
      </c>
      <c r="I38" s="11">
        <f>SUM(I39:I43)</f>
        <v>149622</v>
      </c>
      <c r="J38" s="11">
        <f>SUM(J39:J43)</f>
        <v>121541</v>
      </c>
      <c r="K38" s="11">
        <f>SUM(K39:K43)</f>
        <v>139104</v>
      </c>
    </row>
    <row r="39" spans="1:11" x14ac:dyDescent="0.2">
      <c r="A39" s="28"/>
      <c r="B39" s="195"/>
      <c r="C39" s="17" t="s">
        <v>464</v>
      </c>
      <c r="D39" s="47"/>
      <c r="E39" s="47"/>
      <c r="F39" s="47"/>
      <c r="G39" s="39"/>
      <c r="H39" s="39">
        <v>77655</v>
      </c>
      <c r="I39" s="39">
        <v>112648</v>
      </c>
      <c r="J39" s="39">
        <v>85200</v>
      </c>
      <c r="K39" s="39">
        <v>102318</v>
      </c>
    </row>
    <row r="40" spans="1:11" x14ac:dyDescent="0.2">
      <c r="A40" s="28"/>
      <c r="B40" s="195"/>
      <c r="C40" s="17" t="s">
        <v>479</v>
      </c>
      <c r="D40" s="47"/>
      <c r="E40" s="47"/>
      <c r="F40" s="47"/>
      <c r="G40" s="39"/>
      <c r="H40" s="39">
        <v>14360</v>
      </c>
      <c r="I40" s="39">
        <v>13486</v>
      </c>
      <c r="J40" s="39">
        <v>13486</v>
      </c>
      <c r="K40" s="39">
        <v>13486</v>
      </c>
    </row>
    <row r="41" spans="1:11" x14ac:dyDescent="0.2">
      <c r="A41" s="28"/>
      <c r="B41" s="195"/>
      <c r="C41" s="17" t="s">
        <v>480</v>
      </c>
      <c r="D41" s="47"/>
      <c r="E41" s="47"/>
      <c r="F41" s="47"/>
      <c r="G41" s="39"/>
      <c r="H41" s="39">
        <v>12833</v>
      </c>
      <c r="I41" s="39">
        <v>17960</v>
      </c>
      <c r="J41" s="39">
        <v>16003</v>
      </c>
      <c r="K41" s="39">
        <v>17552</v>
      </c>
    </row>
    <row r="42" spans="1:11" x14ac:dyDescent="0.2">
      <c r="A42" s="28"/>
      <c r="B42" s="195"/>
      <c r="C42" s="17" t="s">
        <v>439</v>
      </c>
      <c r="D42" s="47"/>
      <c r="E42" s="47"/>
      <c r="F42" s="47"/>
      <c r="G42" s="39"/>
      <c r="H42" s="39">
        <v>1502</v>
      </c>
      <c r="I42" s="39">
        <v>1428</v>
      </c>
      <c r="J42" s="39">
        <v>1500</v>
      </c>
      <c r="K42" s="39">
        <v>1648</v>
      </c>
    </row>
    <row r="43" spans="1:11" x14ac:dyDescent="0.2">
      <c r="A43" s="28"/>
      <c r="B43" s="195"/>
      <c r="C43" s="17" t="s">
        <v>481</v>
      </c>
      <c r="D43" s="47"/>
      <c r="E43" s="47"/>
      <c r="F43" s="47"/>
      <c r="G43" s="39"/>
      <c r="H43" s="39">
        <v>4124</v>
      </c>
      <c r="I43" s="39">
        <v>4100</v>
      </c>
      <c r="J43" s="39">
        <v>5352</v>
      </c>
      <c r="K43" s="39">
        <v>4100</v>
      </c>
    </row>
    <row r="44" spans="1:11" x14ac:dyDescent="0.2">
      <c r="A44" s="12"/>
      <c r="B44" s="315" t="s">
        <v>452</v>
      </c>
      <c r="C44" s="315"/>
      <c r="D44" s="11">
        <v>177462</v>
      </c>
      <c r="E44" s="11">
        <v>313464</v>
      </c>
      <c r="F44" s="38">
        <v>193753</v>
      </c>
      <c r="G44" s="11">
        <v>232850</v>
      </c>
      <c r="H44" s="11">
        <f>SUM(H45:H49)</f>
        <v>275177</v>
      </c>
      <c r="I44" s="11">
        <f>SUM(I45:I49)</f>
        <v>410183</v>
      </c>
      <c r="J44" s="11">
        <f>SUM(J45:J49)</f>
        <v>398164</v>
      </c>
      <c r="K44" s="11">
        <f>SUM(K45:K49)</f>
        <v>441211</v>
      </c>
    </row>
    <row r="45" spans="1:11" x14ac:dyDescent="0.2">
      <c r="A45" s="28"/>
      <c r="B45" s="195"/>
      <c r="C45" s="17" t="s">
        <v>464</v>
      </c>
      <c r="D45" s="47"/>
      <c r="E45" s="47"/>
      <c r="F45" s="47"/>
      <c r="G45" s="39"/>
      <c r="H45" s="39">
        <v>181091</v>
      </c>
      <c r="I45" s="39">
        <v>341220</v>
      </c>
      <c r="J45" s="39">
        <v>330001</v>
      </c>
      <c r="K45" s="39">
        <v>373027</v>
      </c>
    </row>
    <row r="46" spans="1:11" x14ac:dyDescent="0.2">
      <c r="A46" s="28"/>
      <c r="B46" s="195"/>
      <c r="C46" s="17" t="s">
        <v>477</v>
      </c>
      <c r="D46" s="47"/>
      <c r="E46" s="47"/>
      <c r="F46" s="47"/>
      <c r="G46" s="39"/>
      <c r="H46" s="39">
        <v>31757</v>
      </c>
      <c r="I46" s="39">
        <v>18109</v>
      </c>
      <c r="J46" s="39">
        <v>18109</v>
      </c>
      <c r="K46" s="39">
        <v>18109</v>
      </c>
    </row>
    <row r="47" spans="1:11" x14ac:dyDescent="0.2">
      <c r="A47" s="28"/>
      <c r="B47" s="195"/>
      <c r="C47" s="17" t="s">
        <v>439</v>
      </c>
      <c r="D47" s="47"/>
      <c r="E47" s="47"/>
      <c r="F47" s="47"/>
      <c r="G47" s="39"/>
      <c r="H47" s="39">
        <v>23742</v>
      </c>
      <c r="I47" s="39">
        <v>24854</v>
      </c>
      <c r="J47" s="39">
        <v>24054</v>
      </c>
      <c r="K47" s="39">
        <v>23575</v>
      </c>
    </row>
    <row r="48" spans="1:11" x14ac:dyDescent="0.2">
      <c r="A48" s="28"/>
      <c r="B48" s="195"/>
      <c r="C48" s="17" t="s">
        <v>482</v>
      </c>
      <c r="D48" s="47"/>
      <c r="E48" s="47"/>
      <c r="F48" s="47"/>
      <c r="G48" s="39"/>
      <c r="H48" s="39">
        <v>37012</v>
      </c>
      <c r="I48" s="39">
        <v>25000</v>
      </c>
      <c r="J48" s="39">
        <v>25000</v>
      </c>
      <c r="K48" s="39">
        <v>25500</v>
      </c>
    </row>
    <row r="49" spans="1:11" x14ac:dyDescent="0.2">
      <c r="A49" s="28"/>
      <c r="B49" s="195"/>
      <c r="C49" s="17" t="s">
        <v>483</v>
      </c>
      <c r="D49" s="47"/>
      <c r="E49" s="47"/>
      <c r="F49" s="47"/>
      <c r="G49" s="39"/>
      <c r="H49" s="39">
        <v>1575</v>
      </c>
      <c r="I49" s="39">
        <v>1000</v>
      </c>
      <c r="J49" s="39">
        <v>1000</v>
      </c>
      <c r="K49" s="39">
        <v>1000</v>
      </c>
    </row>
    <row r="50" spans="1:11" x14ac:dyDescent="0.2">
      <c r="A50" s="12" t="s">
        <v>484</v>
      </c>
      <c r="B50" s="315" t="s">
        <v>460</v>
      </c>
      <c r="C50" s="315"/>
      <c r="D50" s="11">
        <v>0</v>
      </c>
      <c r="E50" s="11">
        <v>0</v>
      </c>
      <c r="F50" s="11">
        <v>0</v>
      </c>
      <c r="G50" s="41">
        <v>0</v>
      </c>
      <c r="H50" s="41">
        <v>43899</v>
      </c>
      <c r="I50" s="186">
        <v>24800</v>
      </c>
      <c r="J50" s="186">
        <v>24731</v>
      </c>
      <c r="K50" s="186">
        <v>23450</v>
      </c>
    </row>
    <row r="51" spans="1:11" x14ac:dyDescent="0.2">
      <c r="A51" s="12"/>
      <c r="B51" s="315" t="s">
        <v>485</v>
      </c>
      <c r="C51" s="315"/>
      <c r="D51" s="11">
        <v>0</v>
      </c>
      <c r="E51" s="11">
        <v>0</v>
      </c>
      <c r="F51" s="11">
        <v>0</v>
      </c>
      <c r="G51" s="41">
        <v>0</v>
      </c>
      <c r="H51" s="41">
        <v>76493</v>
      </c>
      <c r="I51" s="186">
        <v>69930</v>
      </c>
      <c r="J51" s="186">
        <v>64063</v>
      </c>
      <c r="K51" s="186">
        <v>72570</v>
      </c>
    </row>
    <row r="52" spans="1:11" x14ac:dyDescent="0.2">
      <c r="A52" s="12"/>
      <c r="B52" s="315" t="s">
        <v>463</v>
      </c>
      <c r="C52" s="315"/>
      <c r="D52" s="11">
        <v>0</v>
      </c>
      <c r="E52" s="11">
        <v>0</v>
      </c>
      <c r="F52" s="11">
        <v>0</v>
      </c>
      <c r="G52" s="41">
        <v>0</v>
      </c>
      <c r="H52" s="41">
        <v>80239</v>
      </c>
      <c r="I52" s="186">
        <v>88464</v>
      </c>
      <c r="J52" s="186">
        <v>175275</v>
      </c>
      <c r="K52" s="186">
        <v>229965</v>
      </c>
    </row>
    <row r="53" spans="1:11" x14ac:dyDescent="0.2">
      <c r="A53" s="12"/>
      <c r="B53" s="315" t="s">
        <v>486</v>
      </c>
      <c r="C53" s="315"/>
      <c r="D53" s="11">
        <v>0</v>
      </c>
      <c r="E53" s="11">
        <v>0</v>
      </c>
      <c r="F53" s="11">
        <v>0</v>
      </c>
      <c r="G53" s="41">
        <v>0</v>
      </c>
      <c r="H53" s="41">
        <v>23233</v>
      </c>
      <c r="I53" s="186">
        <v>20562</v>
      </c>
      <c r="J53" s="186">
        <v>20562</v>
      </c>
      <c r="K53" s="186">
        <v>21177</v>
      </c>
    </row>
    <row r="54" spans="1:11" x14ac:dyDescent="0.2">
      <c r="A54" s="12"/>
      <c r="B54" s="12"/>
      <c r="C54" s="12"/>
      <c r="D54" s="12"/>
      <c r="E54" s="12"/>
      <c r="F54" s="12"/>
      <c r="G54" s="12"/>
      <c r="H54" s="12"/>
      <c r="I54" s="12"/>
      <c r="J54" s="12"/>
      <c r="K54" s="12"/>
    </row>
    <row r="55" spans="1:11" x14ac:dyDescent="0.2">
      <c r="A55" s="313" t="s">
        <v>457</v>
      </c>
      <c r="B55" s="313"/>
      <c r="C55" s="313"/>
      <c r="D55" s="196">
        <v>959914</v>
      </c>
      <c r="E55" s="196">
        <v>872612</v>
      </c>
      <c r="F55" s="196">
        <v>1027524</v>
      </c>
      <c r="G55" s="196">
        <v>1095920</v>
      </c>
      <c r="H55" s="196">
        <v>1118990</v>
      </c>
      <c r="I55" s="196">
        <v>1370770</v>
      </c>
      <c r="J55" s="196">
        <v>1370770</v>
      </c>
      <c r="K55" s="196">
        <v>1441892</v>
      </c>
    </row>
    <row r="56" spans="1:11" x14ac:dyDescent="0.2">
      <c r="A56" s="6"/>
      <c r="B56" s="308" t="s">
        <v>458</v>
      </c>
      <c r="C56" s="309"/>
      <c r="D56" s="197">
        <v>953632</v>
      </c>
      <c r="E56" s="197">
        <v>872597</v>
      </c>
      <c r="F56" s="197">
        <v>1026472</v>
      </c>
      <c r="G56" s="197">
        <v>1097328</v>
      </c>
      <c r="H56" s="197">
        <v>1118166</v>
      </c>
      <c r="I56" s="197">
        <v>1350209</v>
      </c>
      <c r="J56" s="197">
        <v>1350209</v>
      </c>
      <c r="K56" s="197">
        <v>1309714</v>
      </c>
    </row>
    <row r="57" spans="1:11" x14ac:dyDescent="0.2">
      <c r="A57" s="6"/>
      <c r="B57" s="308" t="s">
        <v>487</v>
      </c>
      <c r="C57" s="309"/>
      <c r="D57" s="197">
        <v>6282</v>
      </c>
      <c r="E57" s="197">
        <v>15</v>
      </c>
      <c r="F57" s="197">
        <v>1052</v>
      </c>
      <c r="G57" s="197">
        <v>-1408</v>
      </c>
      <c r="H57" s="197">
        <v>824</v>
      </c>
      <c r="I57" s="197">
        <v>0</v>
      </c>
      <c r="J57" s="197">
        <v>0</v>
      </c>
      <c r="K57" s="197">
        <v>0</v>
      </c>
    </row>
    <row r="58" spans="1:11" x14ac:dyDescent="0.2">
      <c r="A58" s="12"/>
      <c r="B58" s="318" t="s">
        <v>488</v>
      </c>
      <c r="C58" s="319"/>
      <c r="D58" s="198">
        <v>0</v>
      </c>
      <c r="E58" s="198">
        <v>0</v>
      </c>
      <c r="F58" s="198">
        <v>0</v>
      </c>
      <c r="G58" s="198">
        <v>0</v>
      </c>
      <c r="H58" s="198">
        <v>0</v>
      </c>
      <c r="I58" s="198">
        <v>20561</v>
      </c>
      <c r="J58" s="198">
        <v>20562</v>
      </c>
      <c r="K58" s="198">
        <v>21178</v>
      </c>
    </row>
  </sheetData>
  <mergeCells count="23">
    <mergeCell ref="B53:C53"/>
    <mergeCell ref="A55:C55"/>
    <mergeCell ref="B56:C56"/>
    <mergeCell ref="B57:C57"/>
    <mergeCell ref="B58:C58"/>
    <mergeCell ref="B52:C52"/>
    <mergeCell ref="B7:C7"/>
    <mergeCell ref="B8:C8"/>
    <mergeCell ref="A9:C9"/>
    <mergeCell ref="B10:C10"/>
    <mergeCell ref="B19:C19"/>
    <mergeCell ref="B26:C26"/>
    <mergeCell ref="B34:C34"/>
    <mergeCell ref="B38:C38"/>
    <mergeCell ref="B44:C44"/>
    <mergeCell ref="B50:C50"/>
    <mergeCell ref="B51:C51"/>
    <mergeCell ref="B6:C6"/>
    <mergeCell ref="A1:C1"/>
    <mergeCell ref="A2:C2"/>
    <mergeCell ref="B3:C3"/>
    <mergeCell ref="B4:C4"/>
    <mergeCell ref="B5:C5"/>
  </mergeCells>
  <conditionalFormatting sqref="D1:K1 G11:K18 G20:K25 G27:K33 G35:K37 G39:K43 I45:K49 G45:H53">
    <cfRule type="cellIs" dxfId="4" priority="2" operator="lessThan">
      <formula>0</formula>
    </cfRule>
  </conditionalFormatting>
  <conditionalFormatting sqref="G3:H8">
    <cfRule type="cellIs" dxfId="3" priority="3" operator="lessThan">
      <formula>0</formula>
    </cfRule>
  </conditionalFormatting>
  <pageMargins left="0.7" right="0.7" top="0.75" bottom="0.75" header="0.3" footer="0.3"/>
  <ignoredErrors>
    <ignoredError sqref="H44:J4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9B2AC-982E-40AA-B021-2A3CC10D2B14}">
  <dimension ref="A1:K52"/>
  <sheetViews>
    <sheetView workbookViewId="0">
      <selection activeCell="K2" sqref="K2"/>
    </sheetView>
  </sheetViews>
  <sheetFormatPr defaultRowHeight="12.75" x14ac:dyDescent="0.2"/>
  <cols>
    <col min="1" max="2" width="5" style="12" customWidth="1"/>
    <col min="3" max="3" width="51" style="12" bestFit="1" customWidth="1"/>
    <col min="4" max="6" width="17" style="12" customWidth="1"/>
    <col min="7" max="7" width="19.6640625" style="12" customWidth="1"/>
    <col min="8" max="10" width="17" style="12" customWidth="1"/>
    <col min="11" max="11" width="18.6640625" customWidth="1"/>
  </cols>
  <sheetData>
    <row r="1" spans="1:11" ht="25.5" x14ac:dyDescent="0.2">
      <c r="A1" s="321" t="s">
        <v>489</v>
      </c>
      <c r="B1" s="321"/>
      <c r="C1" s="321"/>
      <c r="D1" s="27" t="s">
        <v>0</v>
      </c>
      <c r="E1" s="27" t="s">
        <v>1</v>
      </c>
      <c r="F1" s="27" t="s">
        <v>2</v>
      </c>
      <c r="G1" s="27" t="s">
        <v>3</v>
      </c>
      <c r="H1" s="27" t="s">
        <v>315</v>
      </c>
      <c r="I1" s="27" t="s">
        <v>427</v>
      </c>
      <c r="J1" s="27" t="s">
        <v>529</v>
      </c>
      <c r="K1" s="27" t="s">
        <v>528</v>
      </c>
    </row>
    <row r="2" spans="1:11" x14ac:dyDescent="0.2">
      <c r="A2" s="322" t="s">
        <v>490</v>
      </c>
      <c r="B2" s="322"/>
      <c r="C2" s="322"/>
      <c r="D2" s="199">
        <f t="shared" ref="D2:G2" si="0">SUM(D3:D6)</f>
        <v>19520574</v>
      </c>
      <c r="E2" s="199">
        <f t="shared" si="0"/>
        <v>20175024</v>
      </c>
      <c r="F2" s="199">
        <f t="shared" si="0"/>
        <v>20796423</v>
      </c>
      <c r="G2" s="199">
        <f t="shared" si="0"/>
        <v>25875349</v>
      </c>
      <c r="H2" s="199">
        <f>SUM(H3:H6)</f>
        <v>25296006</v>
      </c>
      <c r="I2" s="199">
        <f>SUM(I3:I6)</f>
        <v>31849057</v>
      </c>
      <c r="J2" s="199">
        <f>SUM(J3:J6)</f>
        <v>32133309</v>
      </c>
      <c r="K2" s="225">
        <f>SUM(K3:K6)</f>
        <v>34055974</v>
      </c>
    </row>
    <row r="3" spans="1:11" x14ac:dyDescent="0.2">
      <c r="B3" s="200" t="s">
        <v>491</v>
      </c>
      <c r="C3" s="200"/>
      <c r="D3" s="201">
        <v>17542436</v>
      </c>
      <c r="E3" s="201">
        <v>18727080</v>
      </c>
      <c r="F3" s="201">
        <v>19342246</v>
      </c>
      <c r="G3" s="201">
        <v>24417887</v>
      </c>
      <c r="H3" s="201">
        <v>23969296</v>
      </c>
      <c r="I3" s="201">
        <v>24850934</v>
      </c>
      <c r="J3" s="201">
        <v>25016271</v>
      </c>
      <c r="K3" s="224">
        <v>26495345</v>
      </c>
    </row>
    <row r="4" spans="1:11" x14ac:dyDescent="0.2">
      <c r="B4" s="202" t="s">
        <v>492</v>
      </c>
      <c r="C4" s="202"/>
      <c r="D4" s="203">
        <v>0</v>
      </c>
      <c r="E4" s="203">
        <v>0</v>
      </c>
      <c r="F4" s="203">
        <v>0</v>
      </c>
      <c r="G4" s="203">
        <v>0</v>
      </c>
      <c r="H4" s="203">
        <v>0</v>
      </c>
      <c r="I4" s="203">
        <v>1041319</v>
      </c>
      <c r="J4" s="203">
        <v>1496406</v>
      </c>
      <c r="K4" s="224">
        <v>1467424</v>
      </c>
    </row>
    <row r="5" spans="1:11" x14ac:dyDescent="0.2">
      <c r="B5" s="202" t="s">
        <v>493</v>
      </c>
      <c r="C5" s="202"/>
      <c r="D5" s="203">
        <v>1760946</v>
      </c>
      <c r="E5" s="203">
        <v>1333758</v>
      </c>
      <c r="F5" s="203">
        <v>1363299</v>
      </c>
      <c r="G5" s="203">
        <v>1390171</v>
      </c>
      <c r="H5" s="203">
        <v>1278267</v>
      </c>
      <c r="I5" s="203">
        <v>5688929</v>
      </c>
      <c r="J5" s="203">
        <v>5352757</v>
      </c>
      <c r="K5" s="224">
        <v>5826623</v>
      </c>
    </row>
    <row r="6" spans="1:11" x14ac:dyDescent="0.2">
      <c r="B6" s="323" t="s">
        <v>494</v>
      </c>
      <c r="C6" s="323"/>
      <c r="D6" s="203">
        <v>217192</v>
      </c>
      <c r="E6" s="203">
        <v>114186</v>
      </c>
      <c r="F6" s="203">
        <v>90878</v>
      </c>
      <c r="G6" s="203">
        <v>67291</v>
      </c>
      <c r="H6" s="203">
        <v>48443</v>
      </c>
      <c r="I6" s="203">
        <v>267875</v>
      </c>
      <c r="J6" s="203">
        <v>267875</v>
      </c>
      <c r="K6" s="224">
        <v>266582</v>
      </c>
    </row>
    <row r="9" spans="1:11" ht="25.5" x14ac:dyDescent="0.2">
      <c r="A9" s="324" t="s">
        <v>495</v>
      </c>
      <c r="B9" s="325"/>
      <c r="C9" s="326"/>
      <c r="D9" s="204" t="s">
        <v>496</v>
      </c>
      <c r="E9" s="204" t="s">
        <v>497</v>
      </c>
      <c r="F9" s="205" t="s">
        <v>498</v>
      </c>
      <c r="G9" s="205" t="s">
        <v>530</v>
      </c>
      <c r="H9" s="205" t="s">
        <v>531</v>
      </c>
      <c r="I9" s="205" t="s">
        <v>532</v>
      </c>
      <c r="J9" s="205" t="s">
        <v>533</v>
      </c>
    </row>
    <row r="10" spans="1:11" x14ac:dyDescent="0.2">
      <c r="A10" s="206" t="s">
        <v>499</v>
      </c>
      <c r="B10" s="206"/>
      <c r="C10" s="206"/>
      <c r="D10" s="206"/>
      <c r="E10" s="206"/>
      <c r="F10" s="207">
        <f>F11+F27+F31+F45</f>
        <v>310696485</v>
      </c>
      <c r="G10" s="207">
        <f>G11+G27+G31+G45</f>
        <v>29985526</v>
      </c>
      <c r="H10" s="207">
        <f>H11+H27+H31+H45</f>
        <v>5537420</v>
      </c>
      <c r="I10" s="207">
        <f>I11+I27+I31+I45</f>
        <v>35522946</v>
      </c>
      <c r="J10" s="207">
        <f>J11+J27+J31+J45</f>
        <v>129319851</v>
      </c>
    </row>
    <row r="11" spans="1:11" x14ac:dyDescent="0.2">
      <c r="B11" s="200" t="s">
        <v>500</v>
      </c>
      <c r="C11" s="208"/>
      <c r="D11" s="209"/>
      <c r="E11" s="210"/>
      <c r="F11" s="192">
        <f>SUM(F12:F26)</f>
        <v>225832453</v>
      </c>
      <c r="G11" s="192">
        <v>20497268</v>
      </c>
      <c r="H11" s="192">
        <f>SUM(H12:H26)</f>
        <v>3597717</v>
      </c>
      <c r="I11" s="192">
        <f>SUM(I12:I26)</f>
        <v>24094985</v>
      </c>
      <c r="J11" s="192">
        <v>87841400</v>
      </c>
    </row>
    <row r="12" spans="1:11" x14ac:dyDescent="0.2">
      <c r="A12" s="28"/>
      <c r="B12" s="211"/>
      <c r="C12" s="211" t="s">
        <v>501</v>
      </c>
      <c r="D12" s="212">
        <v>48976</v>
      </c>
      <c r="E12" s="213">
        <v>2.9000000000000001E-2</v>
      </c>
      <c r="F12" s="214">
        <v>9212110</v>
      </c>
      <c r="G12" s="215">
        <v>427000</v>
      </c>
      <c r="H12" s="215">
        <v>68760</v>
      </c>
      <c r="I12" s="215">
        <f>H12+G12</f>
        <v>495760</v>
      </c>
      <c r="J12" s="215">
        <v>1736000</v>
      </c>
    </row>
    <row r="13" spans="1:11" x14ac:dyDescent="0.2">
      <c r="A13" s="28"/>
      <c r="B13" s="211"/>
      <c r="C13" s="211" t="s">
        <v>502</v>
      </c>
      <c r="D13" s="212">
        <v>46447</v>
      </c>
      <c r="E13" s="213">
        <v>2.5000000000000001E-2</v>
      </c>
      <c r="F13" s="216">
        <v>14797719</v>
      </c>
      <c r="G13" s="217">
        <v>920151</v>
      </c>
      <c r="H13" s="215">
        <v>46008</v>
      </c>
      <c r="I13" s="215">
        <f>H13+G13</f>
        <v>966159</v>
      </c>
      <c r="J13" s="217"/>
    </row>
    <row r="14" spans="1:11" x14ac:dyDescent="0.2">
      <c r="A14" s="28"/>
      <c r="B14" s="211"/>
      <c r="C14" s="211" t="s">
        <v>503</v>
      </c>
      <c r="D14" s="212">
        <v>47515</v>
      </c>
      <c r="E14" s="213">
        <v>2.9000000000000001E-2</v>
      </c>
      <c r="F14" s="216">
        <v>6139500</v>
      </c>
      <c r="G14" s="217">
        <v>353000</v>
      </c>
      <c r="H14" s="217">
        <v>44661</v>
      </c>
      <c r="I14" s="215">
        <f>H14+G14</f>
        <v>397661</v>
      </c>
      <c r="J14" s="217">
        <v>1050000</v>
      </c>
    </row>
    <row r="15" spans="1:11" x14ac:dyDescent="0.2">
      <c r="A15" s="28"/>
      <c r="B15" s="211"/>
      <c r="C15" s="211" t="s">
        <v>504</v>
      </c>
      <c r="D15" s="212">
        <v>47880</v>
      </c>
      <c r="E15" s="213">
        <v>0.02</v>
      </c>
      <c r="F15" s="216">
        <v>10692840</v>
      </c>
      <c r="G15" s="217">
        <v>445000</v>
      </c>
      <c r="H15" s="217">
        <v>49878</v>
      </c>
      <c r="I15" s="215">
        <f t="shared" ref="I15:I26" si="1">H15+G15</f>
        <v>494878</v>
      </c>
      <c r="J15" s="217">
        <v>1823000</v>
      </c>
    </row>
    <row r="16" spans="1:11" x14ac:dyDescent="0.2">
      <c r="A16" s="28"/>
      <c r="B16" s="211"/>
      <c r="C16" s="211" t="s">
        <v>505</v>
      </c>
      <c r="D16" s="212">
        <v>48335</v>
      </c>
      <c r="E16" s="213">
        <v>2.1999999999999999E-2</v>
      </c>
      <c r="F16" s="216">
        <v>14286000</v>
      </c>
      <c r="G16" s="217">
        <v>748000</v>
      </c>
      <c r="H16" s="217">
        <v>141210</v>
      </c>
      <c r="I16" s="215">
        <f t="shared" si="1"/>
        <v>889210</v>
      </c>
      <c r="J16" s="217">
        <v>3276000</v>
      </c>
    </row>
    <row r="17" spans="1:10" x14ac:dyDescent="0.2">
      <c r="A17" s="28"/>
      <c r="B17" s="211"/>
      <c r="C17" s="211" t="s">
        <v>506</v>
      </c>
      <c r="D17" s="212">
        <v>48700</v>
      </c>
      <c r="E17" s="213">
        <v>2.7E-2</v>
      </c>
      <c r="F17" s="216">
        <v>11376000</v>
      </c>
      <c r="G17" s="217">
        <v>666000</v>
      </c>
      <c r="H17" s="217">
        <v>150960</v>
      </c>
      <c r="I17" s="215">
        <f t="shared" si="1"/>
        <v>816960</v>
      </c>
      <c r="J17" s="217">
        <v>3108000</v>
      </c>
    </row>
    <row r="18" spans="1:10" x14ac:dyDescent="0.2">
      <c r="A18" s="28"/>
      <c r="B18" s="211"/>
      <c r="C18" s="211" t="s">
        <v>507</v>
      </c>
      <c r="D18" s="212">
        <v>49079</v>
      </c>
      <c r="E18" s="213">
        <v>2.1999999999999999E-2</v>
      </c>
      <c r="F18" s="216">
        <v>13407000</v>
      </c>
      <c r="G18" s="217">
        <v>873000</v>
      </c>
      <c r="H18" s="217">
        <v>239080</v>
      </c>
      <c r="I18" s="215">
        <f t="shared" si="1"/>
        <v>1112080</v>
      </c>
      <c r="J18" s="217">
        <v>5104000</v>
      </c>
    </row>
    <row r="19" spans="1:10" x14ac:dyDescent="0.2">
      <c r="A19" s="28"/>
      <c r="B19" s="211"/>
      <c r="C19" s="211" t="s">
        <v>508</v>
      </c>
      <c r="D19" s="212">
        <v>49444</v>
      </c>
      <c r="E19" s="213">
        <v>1.7999999999999999E-2</v>
      </c>
      <c r="F19" s="216">
        <v>14145000</v>
      </c>
      <c r="G19" s="217">
        <v>924000</v>
      </c>
      <c r="H19" s="217">
        <v>326000</v>
      </c>
      <c r="I19" s="215">
        <f t="shared" si="1"/>
        <v>1250000</v>
      </c>
      <c r="J19" s="217">
        <v>7226000</v>
      </c>
    </row>
    <row r="20" spans="1:10" x14ac:dyDescent="0.2">
      <c r="A20" s="28"/>
      <c r="B20" s="211"/>
      <c r="C20" s="211" t="s">
        <v>509</v>
      </c>
      <c r="D20" s="212">
        <v>47983</v>
      </c>
      <c r="E20" s="213">
        <v>1.7999999999999999E-2</v>
      </c>
      <c r="F20" s="216">
        <v>9955000</v>
      </c>
      <c r="G20" s="217">
        <v>420000</v>
      </c>
      <c r="H20" s="217">
        <v>118000</v>
      </c>
      <c r="I20" s="215">
        <f t="shared" si="1"/>
        <v>538000</v>
      </c>
      <c r="J20" s="217">
        <v>1940000</v>
      </c>
    </row>
    <row r="21" spans="1:10" x14ac:dyDescent="0.2">
      <c r="A21" s="28"/>
      <c r="B21" s="211"/>
      <c r="C21" s="211" t="s">
        <v>510</v>
      </c>
      <c r="D21" s="212">
        <v>49810</v>
      </c>
      <c r="E21" s="213">
        <v>0.02</v>
      </c>
      <c r="F21" s="216">
        <v>43891968</v>
      </c>
      <c r="G21" s="217">
        <v>2490000</v>
      </c>
      <c r="H21" s="217">
        <v>679220</v>
      </c>
      <c r="I21" s="215">
        <f t="shared" si="1"/>
        <v>3169220</v>
      </c>
      <c r="J21" s="217">
        <v>31471000</v>
      </c>
    </row>
    <row r="22" spans="1:10" x14ac:dyDescent="0.2">
      <c r="A22" s="28"/>
      <c r="B22" s="211"/>
      <c r="C22" s="211" t="s">
        <v>511</v>
      </c>
      <c r="D22" s="212">
        <v>48731</v>
      </c>
      <c r="E22" s="213">
        <v>0.04</v>
      </c>
      <c r="F22" s="216">
        <v>5448000</v>
      </c>
      <c r="G22" s="217">
        <v>655000</v>
      </c>
      <c r="H22" s="217">
        <v>51200</v>
      </c>
      <c r="I22" s="215">
        <f t="shared" si="1"/>
        <v>706200</v>
      </c>
      <c r="J22" s="217">
        <v>625000</v>
      </c>
    </row>
    <row r="23" spans="1:10" x14ac:dyDescent="0.2">
      <c r="A23" s="28"/>
      <c r="B23" s="211"/>
      <c r="C23" s="211" t="s">
        <v>512</v>
      </c>
      <c r="D23" s="212">
        <v>52001</v>
      </c>
      <c r="E23" s="213">
        <v>0.04</v>
      </c>
      <c r="F23" s="216">
        <v>19819977</v>
      </c>
      <c r="G23" s="217">
        <v>3092000</v>
      </c>
      <c r="H23" s="217">
        <v>461160</v>
      </c>
      <c r="I23" s="215">
        <f t="shared" si="1"/>
        <v>3553160</v>
      </c>
      <c r="J23" s="217">
        <v>8427000</v>
      </c>
    </row>
    <row r="24" spans="1:10" x14ac:dyDescent="0.2">
      <c r="A24" s="28"/>
      <c r="B24" s="211"/>
      <c r="C24" s="211" t="s">
        <v>537</v>
      </c>
      <c r="D24" s="212">
        <v>47969</v>
      </c>
      <c r="E24" s="213">
        <v>0.04</v>
      </c>
      <c r="F24" s="218">
        <v>9126000</v>
      </c>
      <c r="G24" s="219">
        <v>1242234</v>
      </c>
      <c r="H24" s="217">
        <v>269052</v>
      </c>
      <c r="I24" s="215">
        <f t="shared" si="1"/>
        <v>1511286</v>
      </c>
      <c r="J24" s="217">
        <v>5484077</v>
      </c>
    </row>
    <row r="25" spans="1:10" x14ac:dyDescent="0.2">
      <c r="A25" s="28"/>
      <c r="B25" s="211"/>
      <c r="C25" s="211" t="s">
        <v>536</v>
      </c>
      <c r="D25" s="212">
        <v>50161</v>
      </c>
      <c r="E25" s="213">
        <v>0.04</v>
      </c>
      <c r="F25" s="218">
        <v>12800109</v>
      </c>
      <c r="G25" s="219">
        <v>993882</v>
      </c>
      <c r="H25" s="219">
        <v>467222</v>
      </c>
      <c r="I25" s="215">
        <f t="shared" si="1"/>
        <v>1461104</v>
      </c>
      <c r="J25" s="219">
        <v>10686663</v>
      </c>
    </row>
    <row r="26" spans="1:10" x14ac:dyDescent="0.2">
      <c r="A26" s="28"/>
      <c r="B26" s="211"/>
      <c r="C26" s="211" t="s">
        <v>513</v>
      </c>
      <c r="D26" s="212">
        <v>48700</v>
      </c>
      <c r="E26" s="213">
        <v>0.04</v>
      </c>
      <c r="F26" s="218">
        <v>30735230</v>
      </c>
      <c r="G26" s="219">
        <v>6248001</v>
      </c>
      <c r="H26" s="219">
        <v>485306</v>
      </c>
      <c r="I26" s="215">
        <f t="shared" si="1"/>
        <v>6733307</v>
      </c>
      <c r="J26" s="219">
        <v>5884660</v>
      </c>
    </row>
    <row r="27" spans="1:10" x14ac:dyDescent="0.2">
      <c r="B27" s="327" t="s">
        <v>514</v>
      </c>
      <c r="C27" s="328"/>
      <c r="D27" s="328"/>
      <c r="E27" s="329"/>
      <c r="F27" s="220">
        <f>SUM(F28:F30)</f>
        <v>6750000</v>
      </c>
      <c r="G27" s="220">
        <f>SUM(G28:G30)</f>
        <v>4987174</v>
      </c>
      <c r="H27" s="220">
        <f>SUM(H28:H30)</f>
        <v>847581</v>
      </c>
      <c r="I27" s="220">
        <f>SUM(I28:I30)</f>
        <v>5834755</v>
      </c>
      <c r="J27" s="220">
        <f>SUM(J28:J30)</f>
        <v>8093012</v>
      </c>
    </row>
    <row r="28" spans="1:10" x14ac:dyDescent="0.2">
      <c r="A28" s="28"/>
      <c r="B28" s="211"/>
      <c r="C28" s="211" t="s">
        <v>512</v>
      </c>
      <c r="D28" s="212">
        <v>52001</v>
      </c>
      <c r="E28" s="213">
        <v>0.04</v>
      </c>
      <c r="F28" s="216">
        <v>3000000</v>
      </c>
      <c r="G28" s="216">
        <v>196000</v>
      </c>
      <c r="H28" s="216">
        <v>98160</v>
      </c>
      <c r="I28" s="216">
        <f>H28+G28</f>
        <v>294160</v>
      </c>
      <c r="J28" s="216">
        <v>2258000</v>
      </c>
    </row>
    <row r="29" spans="1:10" x14ac:dyDescent="0.2">
      <c r="A29" s="28"/>
      <c r="B29" s="211"/>
      <c r="C29" s="211" t="s">
        <v>537</v>
      </c>
      <c r="D29" s="212">
        <v>47969</v>
      </c>
      <c r="E29" s="213">
        <v>0.04</v>
      </c>
      <c r="F29" s="216" t="s">
        <v>538</v>
      </c>
      <c r="G29" s="216">
        <v>4500000</v>
      </c>
      <c r="H29" s="216">
        <v>612541</v>
      </c>
      <c r="I29" s="216">
        <f t="shared" ref="I29:I30" si="2">H29+G29</f>
        <v>5112541</v>
      </c>
      <c r="J29" s="216">
        <v>2704180</v>
      </c>
    </row>
    <row r="30" spans="1:10" x14ac:dyDescent="0.2">
      <c r="A30" s="28"/>
      <c r="B30" s="211"/>
      <c r="C30" s="211" t="s">
        <v>536</v>
      </c>
      <c r="D30" s="212">
        <v>50161</v>
      </c>
      <c r="E30" s="213">
        <v>0.04</v>
      </c>
      <c r="F30" s="216">
        <v>3750000</v>
      </c>
      <c r="G30" s="216">
        <v>291174</v>
      </c>
      <c r="H30" s="216">
        <v>136880</v>
      </c>
      <c r="I30" s="216">
        <f t="shared" si="2"/>
        <v>428054</v>
      </c>
      <c r="J30" s="216">
        <v>3130832</v>
      </c>
    </row>
    <row r="31" spans="1:10" x14ac:dyDescent="0.2">
      <c r="B31" s="318" t="s">
        <v>515</v>
      </c>
      <c r="C31" s="320"/>
      <c r="D31" s="320"/>
      <c r="E31" s="319"/>
      <c r="F31" s="221">
        <f>SUM(F32:F44)</f>
        <v>73724002</v>
      </c>
      <c r="G31" s="221">
        <f>SUM(G32:G44)</f>
        <v>4252236</v>
      </c>
      <c r="H31" s="221">
        <f>SUM(H32:H44)</f>
        <v>1074389</v>
      </c>
      <c r="I31" s="221">
        <f>SUM(I32:I44)</f>
        <v>5326625</v>
      </c>
      <c r="J31" s="221">
        <f>SUM(J32:J44)</f>
        <v>33200439</v>
      </c>
    </row>
    <row r="32" spans="1:10" x14ac:dyDescent="0.2">
      <c r="A32" s="28"/>
      <c r="B32" s="211"/>
      <c r="C32" s="211" t="s">
        <v>516</v>
      </c>
      <c r="D32" s="212">
        <v>51044</v>
      </c>
      <c r="E32" s="213">
        <v>4.1000000000000002E-2</v>
      </c>
      <c r="F32" s="215">
        <v>36381323</v>
      </c>
      <c r="G32" s="215">
        <v>1235000</v>
      </c>
      <c r="H32" s="215">
        <v>392850</v>
      </c>
      <c r="I32" s="215">
        <f>H32+G32</f>
        <v>1627850</v>
      </c>
      <c r="J32" s="215">
        <v>17605000</v>
      </c>
    </row>
    <row r="33" spans="1:10" x14ac:dyDescent="0.2">
      <c r="A33" s="28"/>
      <c r="B33" s="211"/>
      <c r="C33" s="211" t="s">
        <v>501</v>
      </c>
      <c r="D33" s="212">
        <v>48976</v>
      </c>
      <c r="E33" s="213">
        <v>2.9000000000000001E-2</v>
      </c>
      <c r="F33" s="217">
        <v>2000000</v>
      </c>
      <c r="G33" s="217">
        <v>111000</v>
      </c>
      <c r="H33" s="217">
        <v>29965</v>
      </c>
      <c r="I33" s="215">
        <f t="shared" ref="I33:I44" si="3">H33+G33</f>
        <v>140965</v>
      </c>
      <c r="J33" s="217">
        <v>811000</v>
      </c>
    </row>
    <row r="34" spans="1:10" x14ac:dyDescent="0.2">
      <c r="A34" s="28"/>
      <c r="B34" s="211"/>
      <c r="C34" s="211" t="s">
        <v>502</v>
      </c>
      <c r="D34" s="212">
        <v>46447</v>
      </c>
      <c r="E34" s="213">
        <v>2.5000000000000001E-2</v>
      </c>
      <c r="F34" s="217">
        <v>7317909</v>
      </c>
      <c r="G34" s="217">
        <v>472414</v>
      </c>
      <c r="H34" s="217">
        <v>23621</v>
      </c>
      <c r="I34" s="215">
        <f t="shared" si="3"/>
        <v>496035</v>
      </c>
      <c r="J34" s="217"/>
    </row>
    <row r="35" spans="1:10" x14ac:dyDescent="0.2">
      <c r="A35" s="28"/>
      <c r="B35" s="211"/>
      <c r="C35" s="211" t="s">
        <v>503</v>
      </c>
      <c r="D35" s="212">
        <v>47515</v>
      </c>
      <c r="E35" s="213">
        <v>2.9000000000000001E-2</v>
      </c>
      <c r="F35" s="217">
        <v>1000000</v>
      </c>
      <c r="G35" s="217">
        <v>81000</v>
      </c>
      <c r="H35" s="217">
        <v>10019</v>
      </c>
      <c r="I35" s="215">
        <f t="shared" si="3"/>
        <v>91019</v>
      </c>
      <c r="J35" s="217">
        <v>234000</v>
      </c>
    </row>
    <row r="36" spans="1:10" x14ac:dyDescent="0.2">
      <c r="A36" s="28"/>
      <c r="B36" s="211"/>
      <c r="C36" s="211" t="s">
        <v>517</v>
      </c>
      <c r="D36" s="212">
        <v>47880</v>
      </c>
      <c r="E36" s="213">
        <v>0.02</v>
      </c>
      <c r="F36" s="217">
        <v>1400000</v>
      </c>
      <c r="G36" s="217">
        <v>110000</v>
      </c>
      <c r="H36" s="217">
        <v>11873</v>
      </c>
      <c r="I36" s="215">
        <f t="shared" si="3"/>
        <v>121873</v>
      </c>
      <c r="J36" s="217">
        <v>431000</v>
      </c>
    </row>
    <row r="37" spans="1:10" x14ac:dyDescent="0.2">
      <c r="A37" s="28"/>
      <c r="B37" s="211"/>
      <c r="C37" s="211" t="s">
        <v>518</v>
      </c>
      <c r="D37" s="212">
        <v>49079</v>
      </c>
      <c r="E37" s="213">
        <v>2.1999999999999999E-2</v>
      </c>
      <c r="F37" s="217">
        <v>1200000</v>
      </c>
      <c r="G37" s="217">
        <v>85000</v>
      </c>
      <c r="H37" s="217">
        <v>29480</v>
      </c>
      <c r="I37" s="215">
        <f t="shared" si="3"/>
        <v>114480</v>
      </c>
      <c r="J37" s="217">
        <v>652000</v>
      </c>
    </row>
    <row r="38" spans="1:10" x14ac:dyDescent="0.2">
      <c r="A38" s="28"/>
      <c r="B38" s="211"/>
      <c r="C38" s="211" t="s">
        <v>519</v>
      </c>
      <c r="D38" s="212">
        <v>49444</v>
      </c>
      <c r="E38" s="213">
        <v>1.7999999999999999E-2</v>
      </c>
      <c r="F38" s="217">
        <v>875000</v>
      </c>
      <c r="G38" s="217">
        <v>61000</v>
      </c>
      <c r="H38" s="217">
        <v>24000</v>
      </c>
      <c r="I38" s="215">
        <f t="shared" si="3"/>
        <v>85000</v>
      </c>
      <c r="J38" s="217">
        <v>539000</v>
      </c>
    </row>
    <row r="39" spans="1:10" x14ac:dyDescent="0.2">
      <c r="A39" s="28"/>
      <c r="B39" s="211"/>
      <c r="C39" s="211" t="s">
        <v>520</v>
      </c>
      <c r="D39" s="212">
        <v>47983</v>
      </c>
      <c r="E39" s="213">
        <v>1.7999999999999999E-2</v>
      </c>
      <c r="F39" s="217">
        <v>1040000</v>
      </c>
      <c r="G39" s="217">
        <v>75000</v>
      </c>
      <c r="H39" s="217">
        <v>21250</v>
      </c>
      <c r="I39" s="215">
        <f t="shared" si="3"/>
        <v>96250</v>
      </c>
      <c r="J39" s="217">
        <v>350000</v>
      </c>
    </row>
    <row r="40" spans="1:10" x14ac:dyDescent="0.2">
      <c r="A40" s="28"/>
      <c r="B40" s="211"/>
      <c r="C40" s="211" t="s">
        <v>521</v>
      </c>
      <c r="D40" s="212">
        <v>49810</v>
      </c>
      <c r="E40" s="213">
        <v>0.02</v>
      </c>
      <c r="F40" s="217">
        <v>4025000</v>
      </c>
      <c r="G40" s="217">
        <v>390000</v>
      </c>
      <c r="H40" s="217">
        <v>52680</v>
      </c>
      <c r="I40" s="215">
        <f t="shared" si="3"/>
        <v>442680</v>
      </c>
      <c r="J40" s="215">
        <v>2244000</v>
      </c>
    </row>
    <row r="41" spans="1:10" x14ac:dyDescent="0.2">
      <c r="A41" s="28"/>
      <c r="B41" s="211"/>
      <c r="C41" s="211" t="s">
        <v>522</v>
      </c>
      <c r="D41" s="212">
        <v>48731</v>
      </c>
      <c r="E41" s="213">
        <v>0.04</v>
      </c>
      <c r="F41" s="217">
        <v>11615000</v>
      </c>
      <c r="G41" s="217">
        <v>1040000</v>
      </c>
      <c r="H41" s="217">
        <v>265400</v>
      </c>
      <c r="I41" s="215">
        <f t="shared" si="3"/>
        <v>1305400</v>
      </c>
      <c r="J41" s="217">
        <v>5595000</v>
      </c>
    </row>
    <row r="42" spans="1:10" x14ac:dyDescent="0.2">
      <c r="A42" s="28"/>
      <c r="B42" s="211"/>
      <c r="C42" s="211" t="s">
        <v>523</v>
      </c>
      <c r="D42" s="212">
        <v>52001</v>
      </c>
      <c r="E42" s="213">
        <v>0.04</v>
      </c>
      <c r="F42" s="217">
        <v>1300000</v>
      </c>
      <c r="G42" s="217">
        <v>85000</v>
      </c>
      <c r="H42" s="217">
        <v>42480</v>
      </c>
      <c r="I42" s="215">
        <f t="shared" si="3"/>
        <v>127480</v>
      </c>
      <c r="J42" s="215">
        <v>977000</v>
      </c>
    </row>
    <row r="43" spans="1:10" x14ac:dyDescent="0.2">
      <c r="A43" s="28"/>
      <c r="B43" s="211"/>
      <c r="C43" s="211" t="s">
        <v>536</v>
      </c>
      <c r="D43" s="212">
        <v>50161</v>
      </c>
      <c r="E43" s="213">
        <v>0.04</v>
      </c>
      <c r="F43" s="219">
        <v>1350000</v>
      </c>
      <c r="G43" s="219">
        <v>104823</v>
      </c>
      <c r="H43" s="219">
        <v>49277</v>
      </c>
      <c r="I43" s="215">
        <f t="shared" si="3"/>
        <v>154100</v>
      </c>
      <c r="J43" s="219">
        <v>1127099</v>
      </c>
    </row>
    <row r="44" spans="1:10" x14ac:dyDescent="0.2">
      <c r="A44" s="28"/>
      <c r="B44" s="211"/>
      <c r="C44" s="211" t="s">
        <v>524</v>
      </c>
      <c r="D44" s="212">
        <v>45047</v>
      </c>
      <c r="E44" s="213">
        <v>0.04</v>
      </c>
      <c r="F44" s="219">
        <v>4219770</v>
      </c>
      <c r="G44" s="219">
        <v>401999</v>
      </c>
      <c r="H44" s="219">
        <v>121494</v>
      </c>
      <c r="I44" s="215">
        <f t="shared" si="3"/>
        <v>523493</v>
      </c>
      <c r="J44" s="219">
        <v>2635340</v>
      </c>
    </row>
    <row r="45" spans="1:10" x14ac:dyDescent="0.2">
      <c r="B45" s="318" t="s">
        <v>525</v>
      </c>
      <c r="C45" s="320"/>
      <c r="D45" s="320"/>
      <c r="E45" s="319"/>
      <c r="F45" s="221">
        <f>SUM(F46:F49)</f>
        <v>4390030</v>
      </c>
      <c r="G45" s="221">
        <f>SUM(G46:G49)</f>
        <v>248848</v>
      </c>
      <c r="H45" s="221">
        <f>SUM(H46:H49)</f>
        <v>17733</v>
      </c>
      <c r="I45" s="221">
        <f>SUM(I46:I49)</f>
        <v>266581</v>
      </c>
      <c r="J45" s="221">
        <f>SUM(J46:J49)</f>
        <v>185000</v>
      </c>
    </row>
    <row r="46" spans="1:10" x14ac:dyDescent="0.2">
      <c r="A46" s="28"/>
      <c r="B46" s="211"/>
      <c r="C46" s="211" t="s">
        <v>501</v>
      </c>
      <c r="D46" s="212">
        <v>48976</v>
      </c>
      <c r="E46" s="213">
        <v>2.9000000000000001E-2</v>
      </c>
      <c r="F46" s="214">
        <v>220000</v>
      </c>
      <c r="G46" s="215">
        <v>12000</v>
      </c>
      <c r="H46" s="215">
        <v>3256</v>
      </c>
      <c r="I46" s="215">
        <f>H46+G46</f>
        <v>15256</v>
      </c>
      <c r="J46" s="215">
        <v>88000</v>
      </c>
    </row>
    <row r="47" spans="1:10" x14ac:dyDescent="0.2">
      <c r="A47" s="28"/>
      <c r="B47" s="211"/>
      <c r="C47" s="211" t="s">
        <v>502</v>
      </c>
      <c r="D47" s="212">
        <v>46447</v>
      </c>
      <c r="E47" s="213">
        <v>2.5000000000000001E-2</v>
      </c>
      <c r="F47" s="216">
        <v>3800030</v>
      </c>
      <c r="G47" s="217">
        <v>196848</v>
      </c>
      <c r="H47" s="217">
        <v>9842</v>
      </c>
      <c r="I47" s="215">
        <f t="shared" ref="I47:I49" si="4">H47+G47</f>
        <v>206690</v>
      </c>
      <c r="J47" s="217"/>
    </row>
    <row r="48" spans="1:10" x14ac:dyDescent="0.2">
      <c r="A48" s="28"/>
      <c r="B48" s="211"/>
      <c r="C48" s="211" t="s">
        <v>504</v>
      </c>
      <c r="D48" s="212">
        <v>47880</v>
      </c>
      <c r="E48" s="213">
        <v>0.02</v>
      </c>
      <c r="F48" s="216">
        <v>120000</v>
      </c>
      <c r="G48" s="217">
        <v>9000</v>
      </c>
      <c r="H48" s="217">
        <v>1035</v>
      </c>
      <c r="I48" s="215">
        <f t="shared" si="4"/>
        <v>10035</v>
      </c>
      <c r="J48" s="217">
        <v>38000</v>
      </c>
    </row>
    <row r="49" spans="1:10" x14ac:dyDescent="0.2">
      <c r="A49" s="28"/>
      <c r="B49" s="211"/>
      <c r="C49" s="211" t="s">
        <v>507</v>
      </c>
      <c r="D49" s="212">
        <v>49079</v>
      </c>
      <c r="E49" s="213">
        <v>2.1999999999999999E-2</v>
      </c>
      <c r="F49" s="216">
        <v>250000</v>
      </c>
      <c r="G49" s="217">
        <v>31000</v>
      </c>
      <c r="H49" s="217">
        <v>3600</v>
      </c>
      <c r="I49" s="215">
        <f t="shared" si="4"/>
        <v>34600</v>
      </c>
      <c r="J49" s="217">
        <v>59000</v>
      </c>
    </row>
    <row r="50" spans="1:10" x14ac:dyDescent="0.2">
      <c r="F50" s="222"/>
      <c r="G50" s="222"/>
      <c r="H50" s="222"/>
      <c r="I50" s="222"/>
    </row>
    <row r="52" spans="1:10" x14ac:dyDescent="0.2">
      <c r="B52" s="12" t="s">
        <v>526</v>
      </c>
    </row>
  </sheetData>
  <mergeCells count="7">
    <mergeCell ref="B45:E45"/>
    <mergeCell ref="A1:C1"/>
    <mergeCell ref="A2:C2"/>
    <mergeCell ref="B6:C6"/>
    <mergeCell ref="A9:C9"/>
    <mergeCell ref="B27:E27"/>
    <mergeCell ref="B31:E31"/>
  </mergeCells>
  <conditionalFormatting sqref="D2:J2">
    <cfRule type="cellIs" dxfId="2" priority="2" operator="lessThan">
      <formula>0</formula>
    </cfRule>
  </conditionalFormatting>
  <conditionalFormatting sqref="D1:K1">
    <cfRule type="cellIs" dxfId="1" priority="1" operator="lessThan">
      <formula>0</formula>
    </cfRule>
  </conditionalFormatting>
  <pageMargins left="0.7" right="0.7" top="0.75" bottom="0.75" header="0.3" footer="0.3"/>
  <ignoredErrors>
    <ignoredError sqref="I27 I31 I4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855CB-5086-4247-8E73-8DA81EBD495C}">
  <sheetPr>
    <pageSetUpPr fitToPage="1"/>
  </sheetPr>
  <dimension ref="A1:L19"/>
  <sheetViews>
    <sheetView workbookViewId="0">
      <selection activeCell="J11" sqref="J11"/>
    </sheetView>
  </sheetViews>
  <sheetFormatPr defaultColWidth="9.33203125" defaultRowHeight="16.5" customHeight="1" x14ac:dyDescent="0.3"/>
  <cols>
    <col min="1" max="1" width="4.83203125" style="120" customWidth="1"/>
    <col min="2" max="2" width="46.33203125" style="120" bestFit="1" customWidth="1"/>
    <col min="3" max="4" width="17" style="120" customWidth="1"/>
    <col min="5" max="5" width="20.5" style="120" customWidth="1"/>
    <col min="6" max="9" width="17" style="120" customWidth="1"/>
    <col min="10" max="10" width="29.5" style="120" customWidth="1"/>
    <col min="11" max="11" width="9.33203125" style="120"/>
    <col min="12" max="12" width="12.6640625" style="120" bestFit="1" customWidth="1"/>
    <col min="13" max="16384" width="9.33203125" style="120"/>
  </cols>
  <sheetData>
    <row r="1" spans="1:12" ht="25.5" x14ac:dyDescent="0.3">
      <c r="B1" s="172" t="s">
        <v>425</v>
      </c>
      <c r="C1" s="173" t="s">
        <v>0</v>
      </c>
      <c r="D1" s="173" t="s">
        <v>1</v>
      </c>
      <c r="E1" s="173" t="s">
        <v>2</v>
      </c>
      <c r="F1" s="173" t="s">
        <v>3</v>
      </c>
      <c r="G1" s="173" t="s">
        <v>315</v>
      </c>
      <c r="H1" s="173" t="s">
        <v>534</v>
      </c>
      <c r="I1" s="173" t="s">
        <v>528</v>
      </c>
    </row>
    <row r="2" spans="1:12" x14ac:dyDescent="0.3">
      <c r="A2" s="171"/>
      <c r="B2" s="125" t="s">
        <v>316</v>
      </c>
      <c r="C2" s="127">
        <v>38361776</v>
      </c>
      <c r="D2" s="127">
        <v>38696759</v>
      </c>
      <c r="E2" s="127">
        <v>40851161</v>
      </c>
      <c r="F2" s="127">
        <v>47583565</v>
      </c>
      <c r="G2" s="127">
        <v>54866750</v>
      </c>
      <c r="H2" s="165">
        <v>58386325</v>
      </c>
      <c r="I2" s="127">
        <v>61913554</v>
      </c>
      <c r="J2" s="132"/>
      <c r="L2" s="164"/>
    </row>
    <row r="3" spans="1:12" x14ac:dyDescent="0.3">
      <c r="A3" s="171"/>
      <c r="B3" s="125" t="s">
        <v>317</v>
      </c>
      <c r="C3" s="128">
        <f>0.0100132*1000</f>
        <v>10.013199999999999</v>
      </c>
      <c r="D3" s="128">
        <v>10.013199999999999</v>
      </c>
      <c r="E3" s="128">
        <v>10.2605</v>
      </c>
      <c r="F3" s="128">
        <v>11.4682</v>
      </c>
      <c r="G3" s="128">
        <v>12.6297</v>
      </c>
      <c r="H3" s="128" t="s">
        <v>340</v>
      </c>
      <c r="I3" s="128">
        <v>13.47</v>
      </c>
    </row>
    <row r="4" spans="1:12" x14ac:dyDescent="0.3">
      <c r="B4" s="125" t="s">
        <v>318</v>
      </c>
      <c r="C4" s="123">
        <v>3.6</v>
      </c>
      <c r="D4" s="123">
        <v>2.92</v>
      </c>
      <c r="E4" s="123">
        <v>3.47</v>
      </c>
      <c r="F4" s="123">
        <v>5.32</v>
      </c>
      <c r="G4" s="123">
        <v>5.36</v>
      </c>
      <c r="H4" s="123">
        <v>4.55</v>
      </c>
      <c r="I4" s="226"/>
      <c r="J4" s="132"/>
      <c r="K4" s="132"/>
    </row>
    <row r="5" spans="1:12" x14ac:dyDescent="0.3">
      <c r="B5" s="125" t="s">
        <v>319</v>
      </c>
      <c r="C5" s="123">
        <v>0.59</v>
      </c>
      <c r="D5" s="123">
        <v>0.54</v>
      </c>
      <c r="E5" s="123">
        <v>0.84</v>
      </c>
      <c r="F5" s="123">
        <v>0.5</v>
      </c>
      <c r="G5" s="123">
        <v>0.78</v>
      </c>
      <c r="H5" s="123">
        <v>0.73</v>
      </c>
      <c r="I5" s="226"/>
      <c r="J5" s="132"/>
      <c r="K5" s="132"/>
    </row>
    <row r="6" spans="1:12" x14ac:dyDescent="0.3">
      <c r="B6" s="125" t="s">
        <v>320</v>
      </c>
      <c r="C6" s="123">
        <v>40.15</v>
      </c>
      <c r="D6" s="123">
        <v>40.15</v>
      </c>
      <c r="E6" s="123">
        <v>42.12</v>
      </c>
      <c r="F6" s="123">
        <v>43.81</v>
      </c>
      <c r="G6" s="123">
        <v>44.72</v>
      </c>
      <c r="H6" s="123">
        <v>45.61</v>
      </c>
      <c r="I6" s="123">
        <v>47.43</v>
      </c>
      <c r="J6" s="126"/>
    </row>
    <row r="7" spans="1:12" x14ac:dyDescent="0.3">
      <c r="B7" s="125" t="s">
        <v>321</v>
      </c>
      <c r="C7" s="123">
        <v>0.75</v>
      </c>
      <c r="D7" s="123">
        <v>0.75</v>
      </c>
      <c r="E7" s="123">
        <v>3</v>
      </c>
      <c r="F7" s="123">
        <v>3</v>
      </c>
      <c r="G7" s="123">
        <v>3</v>
      </c>
      <c r="H7" s="123">
        <v>3</v>
      </c>
      <c r="I7" s="226"/>
      <c r="J7" s="126"/>
    </row>
    <row r="8" spans="1:12" x14ac:dyDescent="0.3">
      <c r="B8" s="125" t="s">
        <v>323</v>
      </c>
      <c r="C8" s="123">
        <v>0.94</v>
      </c>
      <c r="D8" s="123">
        <v>0.94</v>
      </c>
      <c r="E8" s="123">
        <v>0.94</v>
      </c>
      <c r="F8" s="123">
        <v>0.94</v>
      </c>
      <c r="G8" s="123">
        <v>1.25</v>
      </c>
      <c r="H8" s="123">
        <v>1.25</v>
      </c>
      <c r="I8" s="226"/>
    </row>
    <row r="9" spans="1:12" x14ac:dyDescent="0.3">
      <c r="B9" s="125" t="s">
        <v>324</v>
      </c>
      <c r="C9" s="124" t="s">
        <v>322</v>
      </c>
      <c r="D9" s="124" t="s">
        <v>322</v>
      </c>
      <c r="E9" s="123">
        <v>20</v>
      </c>
      <c r="F9" s="123">
        <v>40</v>
      </c>
      <c r="G9" s="123">
        <v>60</v>
      </c>
      <c r="H9" s="123">
        <v>80</v>
      </c>
      <c r="I9" s="123">
        <v>100</v>
      </c>
    </row>
    <row r="10" spans="1:12" x14ac:dyDescent="0.3">
      <c r="B10" s="125" t="s">
        <v>325</v>
      </c>
      <c r="C10" s="124" t="s">
        <v>322</v>
      </c>
      <c r="D10" s="124" t="s">
        <v>322</v>
      </c>
      <c r="E10" s="123">
        <v>60</v>
      </c>
      <c r="F10" s="123">
        <v>120</v>
      </c>
      <c r="G10" s="123">
        <v>180</v>
      </c>
      <c r="H10" s="123">
        <v>240</v>
      </c>
      <c r="I10" s="123">
        <v>300</v>
      </c>
    </row>
    <row r="13" spans="1:12" ht="60" customHeight="1" x14ac:dyDescent="0.3">
      <c r="B13" s="330" t="s">
        <v>326</v>
      </c>
      <c r="C13" s="330"/>
      <c r="D13" s="330"/>
      <c r="E13" s="122"/>
      <c r="F13" s="122"/>
      <c r="G13" s="122"/>
      <c r="H13" s="122"/>
      <c r="I13" s="122"/>
    </row>
    <row r="14" spans="1:12" ht="15" customHeight="1" x14ac:dyDescent="0.3">
      <c r="B14" s="145"/>
      <c r="C14" s="145"/>
      <c r="D14" s="145"/>
      <c r="E14" s="122"/>
      <c r="F14" s="122"/>
      <c r="G14" s="122"/>
      <c r="H14" s="122"/>
      <c r="I14" s="122"/>
    </row>
    <row r="15" spans="1:12" s="121" customFormat="1" ht="84.75" customHeight="1" x14ac:dyDescent="0.2">
      <c r="B15" s="331" t="s">
        <v>327</v>
      </c>
      <c r="C15" s="331"/>
      <c r="D15" s="331"/>
    </row>
    <row r="16" spans="1:12" x14ac:dyDescent="0.3">
      <c r="B16" s="121"/>
      <c r="C16" s="121"/>
      <c r="D16" s="121"/>
    </row>
    <row r="17" spans="2:4" ht="68.25" customHeight="1" x14ac:dyDescent="0.3">
      <c r="B17" s="331" t="s">
        <v>328</v>
      </c>
      <c r="C17" s="331"/>
      <c r="D17" s="331"/>
    </row>
    <row r="19" spans="2:4" ht="30" customHeight="1" x14ac:dyDescent="0.3">
      <c r="B19" s="331" t="s">
        <v>339</v>
      </c>
      <c r="C19" s="331"/>
      <c r="D19" s="331"/>
    </row>
  </sheetData>
  <mergeCells count="4">
    <mergeCell ref="B13:D13"/>
    <mergeCell ref="B15:D15"/>
    <mergeCell ref="B17:D17"/>
    <mergeCell ref="B19:D19"/>
  </mergeCells>
  <conditionalFormatting sqref="C1:I1">
    <cfRule type="cellIs" dxfId="0" priority="1" operator="lessThan">
      <formula>0</formula>
    </cfRule>
  </conditionalFormatting>
  <pageMargins left="0.7" right="0.7" top="0.75" bottom="0.75" header="0.3" footer="0.3"/>
  <pageSetup scale="81" orientation="landscape" r:id="rId1"/>
  <ignoredErrors>
    <ignoredError sqref="H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c96349-abc4-4055-aac5-96659ba84162">
      <Terms xmlns="http://schemas.microsoft.com/office/infopath/2007/PartnerControls"/>
    </lcf76f155ced4ddcb4097134ff3c332f>
    <TaxCatchAll xmlns="07771282-90a1-495b-b3a6-e40fc955e36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710A6BD7F4464DB064BA31456D2F88" ma:contentTypeVersion="15" ma:contentTypeDescription="Create a new document." ma:contentTypeScope="" ma:versionID="be8737db80c40dc790104b4f72474e7c">
  <xsd:schema xmlns:xsd="http://www.w3.org/2001/XMLSchema" xmlns:xs="http://www.w3.org/2001/XMLSchema" xmlns:p="http://schemas.microsoft.com/office/2006/metadata/properties" xmlns:ns2="49c96349-abc4-4055-aac5-96659ba84162" xmlns:ns3="07771282-90a1-495b-b3a6-e40fc955e367" targetNamespace="http://schemas.microsoft.com/office/2006/metadata/properties" ma:root="true" ma:fieldsID="469ce4036c4d15ba9ce623f332dc53af" ns2:_="" ns3:_="">
    <xsd:import namespace="49c96349-abc4-4055-aac5-96659ba84162"/>
    <xsd:import namespace="07771282-90a1-495b-b3a6-e40fc955e367"/>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c96349-abc4-4055-aac5-96659ba841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152add7-5887-4f90-affc-90feb7f3e72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771282-90a1-495b-b3a6-e40fc955e3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d97ca9-3e06-485c-9931-2738e331611f}" ma:internalName="TaxCatchAll" ma:showField="CatchAllData" ma:web="07771282-90a1-495b-b3a6-e40fc955e36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D26820-C04C-44D5-9789-A309D0514F35}">
  <ds:schemaRefs>
    <ds:schemaRef ds:uri="http://schemas.microsoft.com/sharepoint/v3/contenttype/forms"/>
  </ds:schemaRefs>
</ds:datastoreItem>
</file>

<file path=customXml/itemProps2.xml><?xml version="1.0" encoding="utf-8"?>
<ds:datastoreItem xmlns:ds="http://schemas.openxmlformats.org/officeDocument/2006/customXml" ds:itemID="{77956A3D-52AD-48A9-87C1-9FD41BFBC394}">
  <ds:schemaRefs>
    <ds:schemaRef ds:uri="http://schemas.microsoft.com/office/2006/metadata/properties"/>
    <ds:schemaRef ds:uri="http://schemas.microsoft.com/office/infopath/2007/PartnerControls"/>
    <ds:schemaRef ds:uri="49c96349-abc4-4055-aac5-96659ba84162"/>
    <ds:schemaRef ds:uri="07771282-90a1-495b-b3a6-e40fc955e367"/>
  </ds:schemaRefs>
</ds:datastoreItem>
</file>

<file path=customXml/itemProps3.xml><?xml version="1.0" encoding="utf-8"?>
<ds:datastoreItem xmlns:ds="http://schemas.openxmlformats.org/officeDocument/2006/customXml" ds:itemID="{DD813FB0-31D4-4DEA-8F63-9BBD1C433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c96349-abc4-4055-aac5-96659ba84162"/>
    <ds:schemaRef ds:uri="07771282-90a1-495b-b3a6-e40fc955e3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 &amp; Notes</vt:lpstr>
      <vt:lpstr>General Fund</vt:lpstr>
      <vt:lpstr>Water Fund</vt:lpstr>
      <vt:lpstr>Sewer Fund</vt:lpstr>
      <vt:lpstr>Sidewalk Fund</vt:lpstr>
      <vt:lpstr>Crouse Marshall Special</vt:lpstr>
      <vt:lpstr>Downtown Special</vt:lpstr>
      <vt:lpstr>Debt Service</vt:lpstr>
      <vt:lpstr>City Rates</vt:lpstr>
      <vt:lpstr>'City Rates'!Print_Area</vt:lpstr>
      <vt:lpstr>'General Fund'!Print_Area</vt:lpstr>
      <vt:lpstr>'Sewer Fund'!Print_Area</vt:lpstr>
      <vt:lpstr>'Sidewalk Fund'!Print_Area</vt:lpstr>
      <vt:lpstr>'Water Fund'!Print_Area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Syracuse Budget Workbook</dc:title>
  <dc:subject/>
  <dc:creator>City of Syracuse Department of Audit;Madden, Kyle;Michael Guckert</dc:creator>
  <cp:keywords>Syracuse, budget, workbook, actual, revenue, expense</cp:keywords>
  <dc:description/>
  <cp:lastModifiedBy>Kutney, Matthew</cp:lastModifiedBy>
  <cp:revision/>
  <cp:lastPrinted>2026-04-01T13:04:37Z</cp:lastPrinted>
  <dcterms:created xsi:type="dcterms:W3CDTF">2025-04-01T19:24:16Z</dcterms:created>
  <dcterms:modified xsi:type="dcterms:W3CDTF">2026-04-13T19:16:04Z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0x010100ED710A6BD7F4464DB064BA31456D2F88</vt:lpwstr>
  </property>
  <property fmtid="{D5CDD505-2E9C-101B-9397-08002B2CF9AE}" pid="3" name="MediaServiceImageTags">
    <vt:lpwstr/>
  </property>
</Properties>
</file>