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cityofsyracuseny.sharepoint.com/sites/AuditDepartment/Shared Documents/2 - Reports/2025/2025-22R - Budget Balancing Act/"/>
    </mc:Choice>
  </mc:AlternateContent>
  <xr:revisionPtr revIDLastSave="6" documentId="8_{1101553B-4D21-4B58-B6FA-155C3A4F9223}" xr6:coauthVersionLast="47" xr6:coauthVersionMax="47" xr10:uidLastSave="{61790B0B-220A-4898-8A8C-3F10058C5365}"/>
  <bookViews>
    <workbookView xWindow="-28920" yWindow="-3345" windowWidth="29040" windowHeight="15720" xr2:uid="{AD35E1EA-5833-41BE-B006-A4608E8A2F46}"/>
  </bookViews>
  <sheets>
    <sheet name="Instructions &amp; Notes" sheetId="12" r:id="rId1"/>
    <sheet name="General Fund" sheetId="5" r:id="rId2"/>
    <sheet name="Water Fund" sheetId="3" r:id="rId3"/>
    <sheet name="Sidewalk Fund" sheetId="1" r:id="rId4"/>
    <sheet name="Sewer Fund" sheetId="4" r:id="rId5"/>
    <sheet name="Crouse Marshall Special" sheetId="6" r:id="rId6"/>
    <sheet name="Downtown Special" sheetId="7" r:id="rId7"/>
    <sheet name="Debt Service" sheetId="8" r:id="rId8"/>
    <sheet name="City Rates" sheetId="11" r:id="rId9"/>
  </sheets>
  <definedNames>
    <definedName name="_xlnm._FilterDatabase" localSheetId="1" hidden="1">'General Fund'!$A$1:$Q$953</definedName>
    <definedName name="_xlnm._FilterDatabase" localSheetId="2" hidden="1">'Water Fund'!$A$1:$N$1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4" l="1"/>
  <c r="G32" i="4"/>
  <c r="H32" i="4"/>
  <c r="I32" i="4"/>
  <c r="J32" i="4"/>
  <c r="K32" i="4"/>
  <c r="L32" i="4"/>
  <c r="E32" i="4"/>
  <c r="D62" i="7"/>
  <c r="E62" i="7"/>
  <c r="F62" i="7"/>
  <c r="G62" i="7"/>
  <c r="I62" i="7"/>
  <c r="J62" i="7"/>
  <c r="K62" i="7"/>
  <c r="H62" i="7"/>
  <c r="D3" i="11" l="1"/>
  <c r="H335" i="5"/>
  <c r="G94" i="5"/>
  <c r="I21" i="1"/>
  <c r="I20" i="1" s="1"/>
  <c r="K21" i="1"/>
  <c r="K20" i="1" s="1"/>
  <c r="G120" i="3"/>
  <c r="J21" i="1"/>
  <c r="J20" i="1" s="1"/>
  <c r="L21" i="1"/>
  <c r="L20" i="1" s="1"/>
  <c r="K122" i="3"/>
  <c r="F41" i="4"/>
  <c r="G41" i="4"/>
  <c r="H41" i="4"/>
  <c r="I41" i="4"/>
  <c r="J41" i="4"/>
  <c r="K41" i="4"/>
  <c r="L41" i="4"/>
  <c r="E41" i="4"/>
  <c r="F20" i="1"/>
  <c r="G20" i="1"/>
  <c r="H20" i="1"/>
  <c r="E20" i="1"/>
  <c r="L14" i="1"/>
  <c r="K14" i="1"/>
  <c r="J14" i="1"/>
  <c r="I14" i="1"/>
  <c r="H14" i="1"/>
  <c r="G14" i="1"/>
  <c r="F14" i="1"/>
  <c r="E14" i="1"/>
  <c r="G122" i="3"/>
  <c r="H122" i="3"/>
  <c r="I122" i="3"/>
  <c r="J122" i="3"/>
  <c r="L122" i="3"/>
  <c r="M122" i="3"/>
  <c r="F122" i="3"/>
  <c r="G110" i="3"/>
  <c r="H110" i="3"/>
  <c r="I110" i="3"/>
  <c r="J110" i="3"/>
  <c r="K110" i="3"/>
  <c r="L110" i="3"/>
  <c r="M110" i="3"/>
  <c r="F110" i="3"/>
  <c r="J211" i="5"/>
  <c r="I360" i="5"/>
  <c r="M37" i="3" l="1"/>
  <c r="N691" i="5"/>
  <c r="H619" i="5"/>
  <c r="I619" i="5"/>
  <c r="J619" i="5"/>
  <c r="L619" i="5"/>
  <c r="M619" i="5"/>
  <c r="N619" i="5"/>
  <c r="G619" i="5"/>
  <c r="M578" i="5"/>
  <c r="N578" i="5"/>
  <c r="M576" i="5"/>
  <c r="N576" i="5"/>
  <c r="L515" i="5"/>
  <c r="J515" i="5"/>
  <c r="I515" i="5"/>
  <c r="H515" i="5"/>
  <c r="G515" i="5"/>
  <c r="N515" i="5"/>
  <c r="M515" i="5"/>
  <c r="M513" i="5"/>
  <c r="N513" i="5"/>
  <c r="L525" i="5"/>
  <c r="L535" i="5"/>
  <c r="L537" i="5"/>
  <c r="L544" i="5"/>
  <c r="L555" i="5"/>
  <c r="L557" i="5"/>
  <c r="L565" i="5"/>
  <c r="L576" i="5"/>
  <c r="L578" i="5"/>
  <c r="L586" i="5"/>
  <c r="L595" i="5"/>
  <c r="L598" i="5"/>
  <c r="L611" i="5"/>
  <c r="L623" i="5"/>
  <c r="L634" i="5"/>
  <c r="L639" i="5"/>
  <c r="L649" i="5"/>
  <c r="L653" i="5"/>
  <c r="L663" i="5"/>
  <c r="L676" i="5"/>
  <c r="L688" i="5"/>
  <c r="L691" i="5"/>
  <c r="L704" i="5"/>
  <c r="L717" i="5"/>
  <c r="L725" i="5"/>
  <c r="L733" i="5"/>
  <c r="L735" i="5"/>
  <c r="L747" i="5"/>
  <c r="L757" i="5"/>
  <c r="L761" i="5"/>
  <c r="L774" i="5"/>
  <c r="L777" i="5"/>
  <c r="L790" i="5"/>
  <c r="L799" i="5"/>
  <c r="L804" i="5"/>
  <c r="L815" i="5"/>
  <c r="L819" i="5"/>
  <c r="L824" i="5"/>
  <c r="L826" i="5"/>
  <c r="L834" i="5"/>
  <c r="L845" i="5"/>
  <c r="L847" i="5"/>
  <c r="L859" i="5"/>
  <c r="L867" i="5"/>
  <c r="L870" i="5"/>
  <c r="L878" i="5"/>
  <c r="L881" i="5"/>
  <c r="L885" i="5"/>
  <c r="L948" i="5"/>
  <c r="L951" i="5"/>
  <c r="L513" i="5"/>
  <c r="M507" i="5"/>
  <c r="N507" i="5"/>
  <c r="M460" i="5"/>
  <c r="N460" i="5"/>
  <c r="M458" i="5"/>
  <c r="N458" i="5"/>
  <c r="N212" i="5"/>
  <c r="L200" i="5"/>
  <c r="J200" i="5"/>
  <c r="I200" i="5"/>
  <c r="H200" i="5"/>
  <c r="G200" i="5"/>
  <c r="N200" i="5"/>
  <c r="M200" i="5"/>
  <c r="G2" i="7"/>
  <c r="I50" i="7"/>
  <c r="H804" i="5"/>
  <c r="H815" i="5"/>
  <c r="G815" i="5"/>
  <c r="G804" i="5"/>
  <c r="M735" i="5"/>
  <c r="N735" i="5"/>
  <c r="M733" i="5"/>
  <c r="N733" i="5"/>
  <c r="M725" i="5"/>
  <c r="N725" i="5"/>
  <c r="H735" i="5"/>
  <c r="G747" i="5"/>
  <c r="M757" i="5"/>
  <c r="N757" i="5"/>
  <c r="H761" i="5"/>
  <c r="H595" i="5"/>
  <c r="I595" i="5"/>
  <c r="J595" i="5"/>
  <c r="K595" i="5"/>
  <c r="M595" i="5"/>
  <c r="N595" i="5"/>
  <c r="H465" i="5"/>
  <c r="I465" i="5"/>
  <c r="J465" i="5"/>
  <c r="K465" i="5"/>
  <c r="L465" i="5"/>
  <c r="M465" i="5"/>
  <c r="N465" i="5"/>
  <c r="G465" i="5"/>
  <c r="G460" i="5"/>
  <c r="L460" i="5"/>
  <c r="K460" i="5"/>
  <c r="J460" i="5"/>
  <c r="I460" i="5"/>
  <c r="H460" i="5"/>
  <c r="L458" i="5"/>
  <c r="K458" i="5"/>
  <c r="J458" i="5"/>
  <c r="I458" i="5"/>
  <c r="H458" i="5"/>
  <c r="G458" i="5"/>
  <c r="G885" i="5"/>
  <c r="M747" i="5"/>
  <c r="N747" i="5"/>
  <c r="G742" i="5"/>
  <c r="G740" i="5"/>
  <c r="G739" i="5"/>
  <c r="G738" i="5"/>
  <c r="G737" i="5"/>
  <c r="G736" i="5"/>
  <c r="G744" i="5"/>
  <c r="J757" i="5"/>
  <c r="I757" i="5"/>
  <c r="H757" i="5"/>
  <c r="G757" i="5"/>
  <c r="K747" i="5"/>
  <c r="J747" i="5"/>
  <c r="I747" i="5"/>
  <c r="H747" i="5"/>
  <c r="K735" i="5"/>
  <c r="J735" i="5"/>
  <c r="I735" i="5"/>
  <c r="K733" i="5"/>
  <c r="J733" i="5"/>
  <c r="I733" i="5"/>
  <c r="H733" i="5"/>
  <c r="G733" i="5"/>
  <c r="K725" i="5"/>
  <c r="J725" i="5"/>
  <c r="I725" i="5"/>
  <c r="H725" i="5"/>
  <c r="G725" i="5"/>
  <c r="G881" i="5"/>
  <c r="N881" i="5"/>
  <c r="H881" i="5"/>
  <c r="I881" i="5"/>
  <c r="J881" i="5"/>
  <c r="K881" i="5"/>
  <c r="M881" i="5"/>
  <c r="H870" i="5"/>
  <c r="I870" i="5"/>
  <c r="J870" i="5"/>
  <c r="M870" i="5"/>
  <c r="N870" i="5"/>
  <c r="G870" i="5"/>
  <c r="H867" i="5"/>
  <c r="I867" i="5"/>
  <c r="J867" i="5"/>
  <c r="K867" i="5"/>
  <c r="M867" i="5"/>
  <c r="N867" i="5"/>
  <c r="G867" i="5"/>
  <c r="N815" i="5"/>
  <c r="M815" i="5"/>
  <c r="K815" i="5"/>
  <c r="J815" i="5"/>
  <c r="I815" i="5"/>
  <c r="N804" i="5"/>
  <c r="M804" i="5"/>
  <c r="K804" i="5"/>
  <c r="J804" i="5"/>
  <c r="I804" i="5"/>
  <c r="H639" i="5"/>
  <c r="I639" i="5"/>
  <c r="J639" i="5"/>
  <c r="K639" i="5"/>
  <c r="M639" i="5"/>
  <c r="N639" i="5"/>
  <c r="G639" i="5"/>
  <c r="H623" i="5"/>
  <c r="I623" i="5"/>
  <c r="J623" i="5"/>
  <c r="K623" i="5"/>
  <c r="M623" i="5"/>
  <c r="N623" i="5"/>
  <c r="G623" i="5"/>
  <c r="G595" i="5"/>
  <c r="H578" i="5"/>
  <c r="I578" i="5"/>
  <c r="J578" i="5"/>
  <c r="G578" i="5"/>
  <c r="H576" i="5"/>
  <c r="I576" i="5"/>
  <c r="J576" i="5"/>
  <c r="K576" i="5"/>
  <c r="G576" i="5"/>
  <c r="H537" i="5"/>
  <c r="I537" i="5"/>
  <c r="J537" i="5"/>
  <c r="M537" i="5"/>
  <c r="N537" i="5"/>
  <c r="G537" i="5"/>
  <c r="G449" i="5"/>
  <c r="H391" i="5"/>
  <c r="I391" i="5"/>
  <c r="J391" i="5"/>
  <c r="K391" i="5"/>
  <c r="L391" i="5"/>
  <c r="M391" i="5"/>
  <c r="N391" i="5"/>
  <c r="G391" i="5"/>
  <c r="H348" i="5"/>
  <c r="I348" i="5"/>
  <c r="J348" i="5"/>
  <c r="L348" i="5"/>
  <c r="M348" i="5"/>
  <c r="N348" i="5"/>
  <c r="G348" i="5"/>
  <c r="H341" i="5"/>
  <c r="I341" i="5"/>
  <c r="J341" i="5"/>
  <c r="L341" i="5"/>
  <c r="M341" i="5"/>
  <c r="N341" i="5"/>
  <c r="G341" i="5"/>
  <c r="H331" i="5"/>
  <c r="I331" i="5"/>
  <c r="J331" i="5"/>
  <c r="K331" i="5"/>
  <c r="L331" i="5"/>
  <c r="M331" i="5"/>
  <c r="N331" i="5"/>
  <c r="G331" i="5"/>
  <c r="H293" i="5"/>
  <c r="I293" i="5"/>
  <c r="J293" i="5"/>
  <c r="K293" i="5"/>
  <c r="L293" i="5"/>
  <c r="M293" i="5"/>
  <c r="N293" i="5"/>
  <c r="G293" i="5"/>
  <c r="H249" i="5"/>
  <c r="I249" i="5"/>
  <c r="J249" i="5"/>
  <c r="K249" i="5"/>
  <c r="L249" i="5"/>
  <c r="M249" i="5"/>
  <c r="N249" i="5"/>
  <c r="G249" i="5"/>
  <c r="H236" i="5"/>
  <c r="I236" i="5"/>
  <c r="J236" i="5"/>
  <c r="K236" i="5"/>
  <c r="L236" i="5"/>
  <c r="M236" i="5"/>
  <c r="N236" i="5"/>
  <c r="G236" i="5"/>
  <c r="H183" i="5"/>
  <c r="I183" i="5"/>
  <c r="J183" i="5"/>
  <c r="L183" i="5"/>
  <c r="M183" i="5"/>
  <c r="N183" i="5"/>
  <c r="G183" i="5"/>
  <c r="H130" i="5"/>
  <c r="I130" i="5"/>
  <c r="J130" i="5"/>
  <c r="K130" i="5"/>
  <c r="L130" i="5"/>
  <c r="M130" i="5"/>
  <c r="N130" i="5"/>
  <c r="G130" i="5"/>
  <c r="H91" i="5"/>
  <c r="I91" i="5"/>
  <c r="J91" i="5"/>
  <c r="K91" i="5"/>
  <c r="L91" i="5"/>
  <c r="M91" i="5"/>
  <c r="N91" i="5"/>
  <c r="G91" i="5"/>
  <c r="G81" i="3"/>
  <c r="G77" i="3"/>
  <c r="H77" i="3"/>
  <c r="I77" i="3"/>
  <c r="J77" i="3"/>
  <c r="K77" i="3"/>
  <c r="L77" i="3"/>
  <c r="M77" i="3"/>
  <c r="F77" i="3"/>
  <c r="D2" i="8"/>
  <c r="E2" i="8"/>
  <c r="F2" i="8"/>
  <c r="G2" i="8"/>
  <c r="H2" i="8"/>
  <c r="I2" i="8"/>
  <c r="J2" i="8"/>
  <c r="K2" i="8"/>
  <c r="I42" i="8"/>
  <c r="I43" i="8"/>
  <c r="I44" i="8"/>
  <c r="I41" i="8"/>
  <c r="I29" i="8"/>
  <c r="I30" i="8"/>
  <c r="I31" i="8"/>
  <c r="I32" i="8"/>
  <c r="I33" i="8"/>
  <c r="I34" i="8"/>
  <c r="I35" i="8"/>
  <c r="I36" i="8"/>
  <c r="I37" i="8"/>
  <c r="I38" i="8"/>
  <c r="I39" i="8"/>
  <c r="I28" i="8"/>
  <c r="I26" i="8"/>
  <c r="I25" i="8" s="1"/>
  <c r="I13" i="8"/>
  <c r="I14" i="8"/>
  <c r="I15" i="8"/>
  <c r="I16" i="8"/>
  <c r="I17" i="8"/>
  <c r="I18" i="8"/>
  <c r="I19" i="8"/>
  <c r="I20" i="8"/>
  <c r="I21" i="8"/>
  <c r="I22" i="8"/>
  <c r="I23" i="8"/>
  <c r="I24" i="8"/>
  <c r="I12" i="8"/>
  <c r="J40" i="8"/>
  <c r="J27" i="8"/>
  <c r="J25" i="8"/>
  <c r="J11" i="8"/>
  <c r="H40" i="8"/>
  <c r="G40" i="8"/>
  <c r="F40" i="8"/>
  <c r="H27" i="8"/>
  <c r="G27" i="8"/>
  <c r="F27" i="8"/>
  <c r="H25" i="8"/>
  <c r="G25" i="8"/>
  <c r="F25" i="8"/>
  <c r="H11" i="8"/>
  <c r="G11" i="8"/>
  <c r="G10" i="8" s="1"/>
  <c r="F11" i="8"/>
  <c r="I43" i="7"/>
  <c r="D43" i="7"/>
  <c r="F25" i="6"/>
  <c r="F30" i="6"/>
  <c r="F18" i="6"/>
  <c r="F10" i="6"/>
  <c r="G32" i="3"/>
  <c r="H32" i="3"/>
  <c r="I32" i="3"/>
  <c r="J32" i="3"/>
  <c r="K32" i="3"/>
  <c r="L32" i="3"/>
  <c r="M32" i="3"/>
  <c r="F32" i="3"/>
  <c r="K50" i="7"/>
  <c r="J50" i="7"/>
  <c r="D50" i="7"/>
  <c r="K43" i="7"/>
  <c r="J43" i="7"/>
  <c r="K38" i="7"/>
  <c r="J38" i="7"/>
  <c r="I38" i="7"/>
  <c r="D38" i="7"/>
  <c r="K29" i="7"/>
  <c r="J29" i="7"/>
  <c r="I29" i="7"/>
  <c r="D29" i="7"/>
  <c r="K19" i="7"/>
  <c r="J19" i="7"/>
  <c r="I19" i="7"/>
  <c r="F19" i="7"/>
  <c r="D19" i="7"/>
  <c r="K10" i="7"/>
  <c r="J10" i="7"/>
  <c r="I10" i="7"/>
  <c r="D10" i="7"/>
  <c r="K2" i="7"/>
  <c r="J2" i="7"/>
  <c r="I2" i="7"/>
  <c r="H2" i="7"/>
  <c r="F2" i="7"/>
  <c r="E2" i="7"/>
  <c r="D2" i="7"/>
  <c r="K36" i="6"/>
  <c r="J36" i="6"/>
  <c r="I36" i="6"/>
  <c r="H36" i="6"/>
  <c r="G36" i="6"/>
  <c r="F36" i="6"/>
  <c r="E36" i="6"/>
  <c r="D36" i="6"/>
  <c r="K30" i="6"/>
  <c r="J30" i="6"/>
  <c r="I30" i="6"/>
  <c r="G30" i="6"/>
  <c r="E30" i="6"/>
  <c r="D30" i="6"/>
  <c r="K25" i="6"/>
  <c r="J25" i="6"/>
  <c r="I25" i="6"/>
  <c r="G25" i="6"/>
  <c r="E25" i="6"/>
  <c r="D25" i="6"/>
  <c r="K18" i="6"/>
  <c r="J18" i="6"/>
  <c r="I18" i="6"/>
  <c r="G18" i="6"/>
  <c r="E18" i="6"/>
  <c r="D18" i="6"/>
  <c r="K10" i="6"/>
  <c r="J10" i="6"/>
  <c r="I10" i="6"/>
  <c r="G10" i="6"/>
  <c r="E10" i="6"/>
  <c r="D10" i="6"/>
  <c r="K2" i="6"/>
  <c r="J2" i="6"/>
  <c r="I2" i="6"/>
  <c r="H2" i="6"/>
  <c r="G2" i="6"/>
  <c r="F2" i="6"/>
  <c r="E2" i="6"/>
  <c r="D2" i="6"/>
  <c r="G3" i="5"/>
  <c r="H3" i="5"/>
  <c r="I3" i="5"/>
  <c r="J3" i="5"/>
  <c r="K3" i="5"/>
  <c r="L3" i="5"/>
  <c r="M3" i="5"/>
  <c r="N3" i="5"/>
  <c r="G5" i="5"/>
  <c r="H5" i="5"/>
  <c r="I5" i="5"/>
  <c r="J5" i="5"/>
  <c r="K5" i="5"/>
  <c r="L5" i="5"/>
  <c r="M5" i="5"/>
  <c r="N5" i="5"/>
  <c r="G19" i="5"/>
  <c r="H19" i="5"/>
  <c r="I19" i="5"/>
  <c r="J19" i="5"/>
  <c r="K19" i="5"/>
  <c r="L19" i="5"/>
  <c r="M19" i="5"/>
  <c r="N19" i="5"/>
  <c r="G30" i="5"/>
  <c r="H30" i="5"/>
  <c r="I30" i="5"/>
  <c r="J30" i="5"/>
  <c r="K30" i="5"/>
  <c r="L30" i="5"/>
  <c r="M30" i="5"/>
  <c r="N30" i="5"/>
  <c r="G52" i="5"/>
  <c r="H52" i="5"/>
  <c r="I52" i="5"/>
  <c r="J52" i="5"/>
  <c r="K52" i="5"/>
  <c r="L52" i="5"/>
  <c r="M52" i="5"/>
  <c r="N52" i="5"/>
  <c r="G54" i="5"/>
  <c r="H54" i="5"/>
  <c r="I54" i="5"/>
  <c r="J54" i="5"/>
  <c r="K54" i="5"/>
  <c r="L54" i="5"/>
  <c r="M54" i="5"/>
  <c r="N54" i="5"/>
  <c r="G70" i="5"/>
  <c r="H70" i="5"/>
  <c r="I70" i="5"/>
  <c r="J70" i="5"/>
  <c r="K70" i="5"/>
  <c r="L70" i="5"/>
  <c r="M70" i="5"/>
  <c r="N70" i="5"/>
  <c r="G77" i="5"/>
  <c r="H77" i="5"/>
  <c r="I77" i="5"/>
  <c r="J77" i="5"/>
  <c r="K77" i="5"/>
  <c r="L77" i="5"/>
  <c r="M77" i="5"/>
  <c r="N77" i="5"/>
  <c r="G82" i="5"/>
  <c r="H82" i="5"/>
  <c r="I82" i="5"/>
  <c r="J82" i="5"/>
  <c r="K82" i="5"/>
  <c r="L82" i="5"/>
  <c r="M82" i="5"/>
  <c r="N82" i="5"/>
  <c r="H94" i="5"/>
  <c r="I94" i="5"/>
  <c r="J94" i="5"/>
  <c r="K94" i="5"/>
  <c r="L94" i="5"/>
  <c r="M94" i="5"/>
  <c r="N94" i="5"/>
  <c r="G118" i="5"/>
  <c r="H118" i="5"/>
  <c r="I118" i="5"/>
  <c r="J118" i="5"/>
  <c r="K118" i="5"/>
  <c r="L118" i="5"/>
  <c r="M118" i="5"/>
  <c r="N118" i="5"/>
  <c r="G121" i="5"/>
  <c r="H121" i="5"/>
  <c r="I121" i="5"/>
  <c r="J121" i="5"/>
  <c r="K121" i="5"/>
  <c r="L121" i="5"/>
  <c r="M121" i="5"/>
  <c r="N121" i="5"/>
  <c r="G127" i="5"/>
  <c r="H127" i="5"/>
  <c r="I127" i="5"/>
  <c r="J127" i="5"/>
  <c r="K127" i="5"/>
  <c r="L127" i="5"/>
  <c r="M127" i="5"/>
  <c r="N127" i="5"/>
  <c r="G138" i="5"/>
  <c r="H138" i="5"/>
  <c r="I138" i="5"/>
  <c r="J138" i="5"/>
  <c r="K138" i="5"/>
  <c r="L138" i="5"/>
  <c r="M138" i="5"/>
  <c r="N138" i="5"/>
  <c r="G140" i="5"/>
  <c r="H140" i="5"/>
  <c r="I140" i="5"/>
  <c r="J140" i="5"/>
  <c r="K140" i="5"/>
  <c r="L140" i="5"/>
  <c r="M140" i="5"/>
  <c r="N140" i="5"/>
  <c r="G152" i="5"/>
  <c r="H152" i="5"/>
  <c r="I152" i="5"/>
  <c r="J152" i="5"/>
  <c r="K152" i="5"/>
  <c r="L152" i="5"/>
  <c r="M152" i="5"/>
  <c r="N152" i="5"/>
  <c r="G159" i="5"/>
  <c r="H159" i="5"/>
  <c r="I159" i="5"/>
  <c r="J159" i="5"/>
  <c r="K159" i="5"/>
  <c r="L159" i="5"/>
  <c r="M159" i="5"/>
  <c r="N159" i="5"/>
  <c r="G162" i="5"/>
  <c r="H162" i="5"/>
  <c r="I162" i="5"/>
  <c r="J162" i="5"/>
  <c r="K162" i="5"/>
  <c r="L162" i="5"/>
  <c r="M162" i="5"/>
  <c r="N162" i="5"/>
  <c r="G164" i="5"/>
  <c r="H164" i="5"/>
  <c r="I164" i="5"/>
  <c r="J164" i="5"/>
  <c r="L164" i="5"/>
  <c r="M164" i="5"/>
  <c r="N164" i="5"/>
  <c r="K166" i="5"/>
  <c r="K168" i="5"/>
  <c r="G171" i="5"/>
  <c r="H171" i="5"/>
  <c r="I171" i="5"/>
  <c r="J171" i="5"/>
  <c r="K171" i="5"/>
  <c r="L171" i="5"/>
  <c r="M171" i="5"/>
  <c r="N171" i="5"/>
  <c r="G174" i="5"/>
  <c r="H174" i="5"/>
  <c r="I174" i="5"/>
  <c r="J174" i="5"/>
  <c r="L174" i="5"/>
  <c r="M174" i="5"/>
  <c r="N174" i="5"/>
  <c r="K175" i="5"/>
  <c r="K174" i="5" s="1"/>
  <c r="G176" i="5"/>
  <c r="H176" i="5"/>
  <c r="I176" i="5"/>
  <c r="J176" i="5"/>
  <c r="L176" i="5"/>
  <c r="M176" i="5"/>
  <c r="N176" i="5"/>
  <c r="K177" i="5"/>
  <c r="K178" i="5"/>
  <c r="K179" i="5"/>
  <c r="K187" i="5"/>
  <c r="K183" i="5" s="1"/>
  <c r="G188" i="5"/>
  <c r="H188" i="5"/>
  <c r="I188" i="5"/>
  <c r="J188" i="5"/>
  <c r="L188" i="5"/>
  <c r="M188" i="5"/>
  <c r="N188" i="5"/>
  <c r="K189" i="5"/>
  <c r="K190" i="5"/>
  <c r="K192" i="5"/>
  <c r="G197" i="5"/>
  <c r="G196" i="5" s="1"/>
  <c r="H197" i="5"/>
  <c r="H196" i="5" s="1"/>
  <c r="I197" i="5"/>
  <c r="I196" i="5" s="1"/>
  <c r="J197" i="5"/>
  <c r="J196" i="5" s="1"/>
  <c r="L197" i="5"/>
  <c r="L196" i="5" s="1"/>
  <c r="M197" i="5"/>
  <c r="M196" i="5" s="1"/>
  <c r="N197" i="5"/>
  <c r="N196" i="5" s="1"/>
  <c r="K198" i="5"/>
  <c r="K197" i="5" s="1"/>
  <c r="K196" i="5" s="1"/>
  <c r="K202" i="5"/>
  <c r="K200" i="5" s="1"/>
  <c r="G204" i="5"/>
  <c r="H204" i="5"/>
  <c r="I204" i="5"/>
  <c r="J204" i="5"/>
  <c r="L204" i="5"/>
  <c r="M204" i="5"/>
  <c r="N204" i="5"/>
  <c r="K205" i="5"/>
  <c r="K207" i="5"/>
  <c r="K208" i="5"/>
  <c r="K209" i="5"/>
  <c r="G212" i="5"/>
  <c r="H212" i="5"/>
  <c r="I212" i="5"/>
  <c r="J212" i="5"/>
  <c r="K212" i="5"/>
  <c r="L212" i="5"/>
  <c r="M212" i="5"/>
  <c r="G215" i="5"/>
  <c r="H215" i="5"/>
  <c r="I215" i="5"/>
  <c r="J215" i="5"/>
  <c r="K215" i="5"/>
  <c r="L215" i="5"/>
  <c r="M215" i="5"/>
  <c r="N215" i="5"/>
  <c r="G217" i="5"/>
  <c r="H217" i="5"/>
  <c r="I217" i="5"/>
  <c r="J217" i="5"/>
  <c r="L217" i="5"/>
  <c r="M217" i="5"/>
  <c r="N217" i="5"/>
  <c r="K218" i="5"/>
  <c r="K219" i="5"/>
  <c r="K220" i="5"/>
  <c r="K221" i="5"/>
  <c r="G224" i="5"/>
  <c r="H224" i="5"/>
  <c r="I224" i="5"/>
  <c r="J224" i="5"/>
  <c r="M224" i="5"/>
  <c r="N224" i="5"/>
  <c r="K225" i="5"/>
  <c r="K224" i="5" s="1"/>
  <c r="L225" i="5"/>
  <c r="L224" i="5" s="1"/>
  <c r="G227" i="5"/>
  <c r="H227" i="5"/>
  <c r="I227" i="5"/>
  <c r="J227" i="5"/>
  <c r="L227" i="5"/>
  <c r="M227" i="5"/>
  <c r="N227" i="5"/>
  <c r="K228" i="5"/>
  <c r="K229" i="5"/>
  <c r="K232" i="5"/>
  <c r="G239" i="5"/>
  <c r="H239" i="5"/>
  <c r="I239" i="5"/>
  <c r="J239" i="5"/>
  <c r="L239" i="5"/>
  <c r="M239" i="5"/>
  <c r="N239" i="5"/>
  <c r="K240" i="5"/>
  <c r="K243" i="5"/>
  <c r="K244" i="5"/>
  <c r="G246" i="5"/>
  <c r="H246" i="5"/>
  <c r="I246" i="5"/>
  <c r="J246" i="5"/>
  <c r="K246" i="5"/>
  <c r="L246" i="5"/>
  <c r="M246" i="5"/>
  <c r="N246" i="5"/>
  <c r="G253" i="5"/>
  <c r="H253" i="5"/>
  <c r="I253" i="5"/>
  <c r="J253" i="5"/>
  <c r="K253" i="5"/>
  <c r="L253" i="5"/>
  <c r="M253" i="5"/>
  <c r="N253" i="5"/>
  <c r="G255" i="5"/>
  <c r="H255" i="5"/>
  <c r="I255" i="5"/>
  <c r="J255" i="5"/>
  <c r="K255" i="5"/>
  <c r="L255" i="5"/>
  <c r="M255" i="5"/>
  <c r="N255" i="5"/>
  <c r="G257" i="5"/>
  <c r="H257" i="5"/>
  <c r="I257" i="5"/>
  <c r="J257" i="5"/>
  <c r="L257" i="5"/>
  <c r="M257" i="5"/>
  <c r="N257" i="5"/>
  <c r="K261" i="5"/>
  <c r="K257" i="5" s="1"/>
  <c r="G264" i="5"/>
  <c r="H264" i="5"/>
  <c r="I264" i="5"/>
  <c r="J264" i="5"/>
  <c r="L264" i="5"/>
  <c r="M264" i="5"/>
  <c r="N264" i="5"/>
  <c r="K265" i="5"/>
  <c r="K264" i="5" s="1"/>
  <c r="G270" i="5"/>
  <c r="H270" i="5"/>
  <c r="I270" i="5"/>
  <c r="J270" i="5"/>
  <c r="K270" i="5"/>
  <c r="L270" i="5"/>
  <c r="M270" i="5"/>
  <c r="N270" i="5"/>
  <c r="G273" i="5"/>
  <c r="H273" i="5"/>
  <c r="I273" i="5"/>
  <c r="J273" i="5"/>
  <c r="L273" i="5"/>
  <c r="M273" i="5"/>
  <c r="N273" i="5"/>
  <c r="K274" i="5"/>
  <c r="K275" i="5"/>
  <c r="K276" i="5"/>
  <c r="K277" i="5"/>
  <c r="K278" i="5"/>
  <c r="G280" i="5"/>
  <c r="H280" i="5"/>
  <c r="I280" i="5"/>
  <c r="J280" i="5"/>
  <c r="K280" i="5"/>
  <c r="L280" i="5"/>
  <c r="M280" i="5"/>
  <c r="N280" i="5"/>
  <c r="G285" i="5"/>
  <c r="H285" i="5"/>
  <c r="I285" i="5"/>
  <c r="J285" i="5"/>
  <c r="L285" i="5"/>
  <c r="M285" i="5"/>
  <c r="N285" i="5"/>
  <c r="K286" i="5"/>
  <c r="K288" i="5"/>
  <c r="G296" i="5"/>
  <c r="H296" i="5"/>
  <c r="I296" i="5"/>
  <c r="J296" i="5"/>
  <c r="K296" i="5"/>
  <c r="L296" i="5"/>
  <c r="M296" i="5"/>
  <c r="N296" i="5"/>
  <c r="G299" i="5"/>
  <c r="H299" i="5"/>
  <c r="I299" i="5"/>
  <c r="J299" i="5"/>
  <c r="K299" i="5"/>
  <c r="L299" i="5"/>
  <c r="M299" i="5"/>
  <c r="N299" i="5"/>
  <c r="G305" i="5"/>
  <c r="H305" i="5"/>
  <c r="I305" i="5"/>
  <c r="J305" i="5"/>
  <c r="K305" i="5"/>
  <c r="L305" i="5"/>
  <c r="M305" i="5"/>
  <c r="N305" i="5"/>
  <c r="G307" i="5"/>
  <c r="H307" i="5"/>
  <c r="I307" i="5"/>
  <c r="J307" i="5"/>
  <c r="L307" i="5"/>
  <c r="M307" i="5"/>
  <c r="N307" i="5"/>
  <c r="K308" i="5"/>
  <c r="K309" i="5"/>
  <c r="K310" i="5"/>
  <c r="K312" i="5"/>
  <c r="G316" i="5"/>
  <c r="H316" i="5"/>
  <c r="I316" i="5"/>
  <c r="J316" i="5"/>
  <c r="K316" i="5"/>
  <c r="L316" i="5"/>
  <c r="M316" i="5"/>
  <c r="N316" i="5"/>
  <c r="G322" i="5"/>
  <c r="H322" i="5"/>
  <c r="I322" i="5"/>
  <c r="J322" i="5"/>
  <c r="K322" i="5"/>
  <c r="L322" i="5"/>
  <c r="M322" i="5"/>
  <c r="N322" i="5"/>
  <c r="G324" i="5"/>
  <c r="H324" i="5"/>
  <c r="I324" i="5"/>
  <c r="J324" i="5"/>
  <c r="L324" i="5"/>
  <c r="M324" i="5"/>
  <c r="N324" i="5"/>
  <c r="K325" i="5"/>
  <c r="K326" i="5"/>
  <c r="K327" i="5"/>
  <c r="K328" i="5"/>
  <c r="K329" i="5"/>
  <c r="G335" i="5"/>
  <c r="I335" i="5"/>
  <c r="J335" i="5"/>
  <c r="L335" i="5"/>
  <c r="M335" i="5"/>
  <c r="N335" i="5"/>
  <c r="K336" i="5"/>
  <c r="K339" i="5"/>
  <c r="K342" i="5"/>
  <c r="K343" i="5"/>
  <c r="G346" i="5"/>
  <c r="H346" i="5"/>
  <c r="I346" i="5"/>
  <c r="J346" i="5"/>
  <c r="K346" i="5"/>
  <c r="L346" i="5"/>
  <c r="M346" i="5"/>
  <c r="N346" i="5"/>
  <c r="K349" i="5"/>
  <c r="K348" i="5" s="1"/>
  <c r="G356" i="5"/>
  <c r="H356" i="5"/>
  <c r="I356" i="5"/>
  <c r="J356" i="5"/>
  <c r="K356" i="5"/>
  <c r="L356" i="5"/>
  <c r="M356" i="5"/>
  <c r="N356" i="5"/>
  <c r="G360" i="5"/>
  <c r="H360" i="5"/>
  <c r="J360" i="5"/>
  <c r="K360" i="5"/>
  <c r="L360" i="5"/>
  <c r="M360" i="5"/>
  <c r="N360" i="5"/>
  <c r="G367" i="5"/>
  <c r="H367" i="5"/>
  <c r="I367" i="5"/>
  <c r="J367" i="5"/>
  <c r="K367" i="5"/>
  <c r="L367" i="5"/>
  <c r="M367" i="5"/>
  <c r="N367" i="5"/>
  <c r="G370" i="5"/>
  <c r="H370" i="5"/>
  <c r="I370" i="5"/>
  <c r="J370" i="5"/>
  <c r="L370" i="5"/>
  <c r="M370" i="5"/>
  <c r="N370" i="5"/>
  <c r="K371" i="5"/>
  <c r="K372" i="5"/>
  <c r="K374" i="5"/>
  <c r="G377" i="5"/>
  <c r="H377" i="5"/>
  <c r="I377" i="5"/>
  <c r="J377" i="5"/>
  <c r="K377" i="5"/>
  <c r="L377" i="5"/>
  <c r="M377" i="5"/>
  <c r="N377" i="5"/>
  <c r="G381" i="5"/>
  <c r="H381" i="5"/>
  <c r="I381" i="5"/>
  <c r="J381" i="5"/>
  <c r="K381" i="5"/>
  <c r="L381" i="5"/>
  <c r="M381" i="5"/>
  <c r="N381" i="5"/>
  <c r="G383" i="5"/>
  <c r="H383" i="5"/>
  <c r="I383" i="5"/>
  <c r="J383" i="5"/>
  <c r="L383" i="5"/>
  <c r="M383" i="5"/>
  <c r="N383" i="5"/>
  <c r="K384" i="5"/>
  <c r="K385" i="5"/>
  <c r="K386" i="5"/>
  <c r="K388" i="5"/>
  <c r="G395" i="5"/>
  <c r="H395" i="5"/>
  <c r="I395" i="5"/>
  <c r="J395" i="5"/>
  <c r="K395" i="5"/>
  <c r="L395" i="5"/>
  <c r="M395" i="5"/>
  <c r="N395" i="5"/>
  <c r="G397" i="5"/>
  <c r="H397" i="5"/>
  <c r="I397" i="5"/>
  <c r="J397" i="5"/>
  <c r="L397" i="5"/>
  <c r="M397" i="5"/>
  <c r="N397" i="5"/>
  <c r="K398" i="5"/>
  <c r="K401" i="5"/>
  <c r="G405" i="5"/>
  <c r="H405" i="5"/>
  <c r="I405" i="5"/>
  <c r="J405" i="5"/>
  <c r="K405" i="5"/>
  <c r="L405" i="5"/>
  <c r="M405" i="5"/>
  <c r="N405" i="5"/>
  <c r="G407" i="5"/>
  <c r="H407" i="5"/>
  <c r="I407" i="5"/>
  <c r="J407" i="5"/>
  <c r="K407" i="5"/>
  <c r="L407" i="5"/>
  <c r="M407" i="5"/>
  <c r="N407" i="5"/>
  <c r="G411" i="5"/>
  <c r="H411" i="5"/>
  <c r="I411" i="5"/>
  <c r="J411" i="5"/>
  <c r="K411" i="5"/>
  <c r="L411" i="5"/>
  <c r="M411" i="5"/>
  <c r="N411" i="5"/>
  <c r="G413" i="5"/>
  <c r="H413" i="5"/>
  <c r="I413" i="5"/>
  <c r="J413" i="5"/>
  <c r="K413" i="5"/>
  <c r="L413" i="5"/>
  <c r="M413" i="5"/>
  <c r="N413" i="5"/>
  <c r="G417" i="5"/>
  <c r="H417" i="5"/>
  <c r="I417" i="5"/>
  <c r="J417" i="5"/>
  <c r="K417" i="5"/>
  <c r="L417" i="5"/>
  <c r="M417" i="5"/>
  <c r="N417" i="5"/>
  <c r="G421" i="5"/>
  <c r="H421" i="5"/>
  <c r="I421" i="5"/>
  <c r="J421" i="5"/>
  <c r="K421" i="5"/>
  <c r="L421" i="5"/>
  <c r="M421" i="5"/>
  <c r="N421" i="5"/>
  <c r="G423" i="5"/>
  <c r="H423" i="5"/>
  <c r="I423" i="5"/>
  <c r="J423" i="5"/>
  <c r="L423" i="5"/>
  <c r="M423" i="5"/>
  <c r="N423" i="5"/>
  <c r="K424" i="5"/>
  <c r="K425" i="5"/>
  <c r="K427" i="5"/>
  <c r="G432" i="5"/>
  <c r="H432" i="5"/>
  <c r="I432" i="5"/>
  <c r="J432" i="5"/>
  <c r="K432" i="5"/>
  <c r="L432" i="5"/>
  <c r="M432" i="5"/>
  <c r="N432" i="5"/>
  <c r="G436" i="5"/>
  <c r="H436" i="5"/>
  <c r="I436" i="5"/>
  <c r="J436" i="5"/>
  <c r="K436" i="5"/>
  <c r="L436" i="5"/>
  <c r="M436" i="5"/>
  <c r="N436" i="5"/>
  <c r="G438" i="5"/>
  <c r="H438" i="5"/>
  <c r="I438" i="5"/>
  <c r="J438" i="5"/>
  <c r="L438" i="5"/>
  <c r="M438" i="5"/>
  <c r="N438" i="5"/>
  <c r="K439" i="5"/>
  <c r="K441" i="5"/>
  <c r="G446" i="5"/>
  <c r="H446" i="5"/>
  <c r="I446" i="5"/>
  <c r="J446" i="5"/>
  <c r="K446" i="5"/>
  <c r="L446" i="5"/>
  <c r="M446" i="5"/>
  <c r="N446" i="5"/>
  <c r="H449" i="5"/>
  <c r="I449" i="5"/>
  <c r="J449" i="5"/>
  <c r="L449" i="5"/>
  <c r="M449" i="5"/>
  <c r="N449" i="5"/>
  <c r="K450" i="5"/>
  <c r="K451" i="5"/>
  <c r="K453" i="5"/>
  <c r="G473" i="5"/>
  <c r="H473" i="5"/>
  <c r="I473" i="5"/>
  <c r="J473" i="5"/>
  <c r="K473" i="5"/>
  <c r="L473" i="5"/>
  <c r="M473" i="5"/>
  <c r="N473" i="5"/>
  <c r="G476" i="5"/>
  <c r="H476" i="5"/>
  <c r="I476" i="5"/>
  <c r="J476" i="5"/>
  <c r="L476" i="5"/>
  <c r="M476" i="5"/>
  <c r="N476" i="5"/>
  <c r="K477" i="5"/>
  <c r="K478" i="5"/>
  <c r="K479" i="5"/>
  <c r="K481" i="5"/>
  <c r="G485" i="5"/>
  <c r="G484" i="5" s="1"/>
  <c r="H485" i="5"/>
  <c r="H484" i="5" s="1"/>
  <c r="I485" i="5"/>
  <c r="I484" i="5" s="1"/>
  <c r="J485" i="5"/>
  <c r="J484" i="5" s="1"/>
  <c r="K485" i="5"/>
  <c r="K484" i="5" s="1"/>
  <c r="L485" i="5"/>
  <c r="L484" i="5" s="1"/>
  <c r="M485" i="5"/>
  <c r="M484" i="5" s="1"/>
  <c r="N485" i="5"/>
  <c r="N484" i="5" s="1"/>
  <c r="G490" i="5"/>
  <c r="H490" i="5"/>
  <c r="I490" i="5"/>
  <c r="J490" i="5"/>
  <c r="K490" i="5"/>
  <c r="L490" i="5"/>
  <c r="M490" i="5"/>
  <c r="N490" i="5"/>
  <c r="G496" i="5"/>
  <c r="H496" i="5"/>
  <c r="I496" i="5"/>
  <c r="J496" i="5"/>
  <c r="L496" i="5"/>
  <c r="M496" i="5"/>
  <c r="N496" i="5"/>
  <c r="K497" i="5"/>
  <c r="K498" i="5"/>
  <c r="K502" i="5"/>
  <c r="G507" i="5"/>
  <c r="H507" i="5"/>
  <c r="I507" i="5"/>
  <c r="J507" i="5"/>
  <c r="K507" i="5"/>
  <c r="L507" i="5"/>
  <c r="G513" i="5"/>
  <c r="H513" i="5"/>
  <c r="I513" i="5"/>
  <c r="J513" i="5"/>
  <c r="K513" i="5"/>
  <c r="K516" i="5"/>
  <c r="K517" i="5"/>
  <c r="K518" i="5"/>
  <c r="K520" i="5"/>
  <c r="G525" i="5"/>
  <c r="H525" i="5"/>
  <c r="I525" i="5"/>
  <c r="J525" i="5"/>
  <c r="K525" i="5"/>
  <c r="M525" i="5"/>
  <c r="N525" i="5"/>
  <c r="G535" i="5"/>
  <c r="H535" i="5"/>
  <c r="I535" i="5"/>
  <c r="J535" i="5"/>
  <c r="K535" i="5"/>
  <c r="M535" i="5"/>
  <c r="N535" i="5"/>
  <c r="K539" i="5"/>
  <c r="K537" i="5" s="1"/>
  <c r="G544" i="5"/>
  <c r="H544" i="5"/>
  <c r="I544" i="5"/>
  <c r="J544" i="5"/>
  <c r="K544" i="5"/>
  <c r="M544" i="5"/>
  <c r="N544" i="5"/>
  <c r="G555" i="5"/>
  <c r="H555" i="5"/>
  <c r="I555" i="5"/>
  <c r="J555" i="5"/>
  <c r="K555" i="5"/>
  <c r="M555" i="5"/>
  <c r="N555" i="5"/>
  <c r="G557" i="5"/>
  <c r="H557" i="5"/>
  <c r="I557" i="5"/>
  <c r="J557" i="5"/>
  <c r="M557" i="5"/>
  <c r="N557" i="5"/>
  <c r="K558" i="5"/>
  <c r="K559" i="5"/>
  <c r="G565" i="5"/>
  <c r="H565" i="5"/>
  <c r="I565" i="5"/>
  <c r="J565" i="5"/>
  <c r="K565" i="5"/>
  <c r="M565" i="5"/>
  <c r="N565" i="5"/>
  <c r="K580" i="5"/>
  <c r="K578" i="5" s="1"/>
  <c r="G586" i="5"/>
  <c r="H586" i="5"/>
  <c r="I586" i="5"/>
  <c r="J586" i="5"/>
  <c r="K586" i="5"/>
  <c r="M586" i="5"/>
  <c r="N586" i="5"/>
  <c r="G598" i="5"/>
  <c r="H598" i="5"/>
  <c r="I598" i="5"/>
  <c r="J598" i="5"/>
  <c r="M598" i="5"/>
  <c r="N598" i="5"/>
  <c r="K599" i="5"/>
  <c r="K600" i="5"/>
  <c r="K601" i="5"/>
  <c r="K602" i="5"/>
  <c r="G611" i="5"/>
  <c r="H611" i="5"/>
  <c r="I611" i="5"/>
  <c r="J611" i="5"/>
  <c r="K611" i="5"/>
  <c r="M611" i="5"/>
  <c r="N611" i="5"/>
  <c r="K620" i="5"/>
  <c r="K619" i="5" s="1"/>
  <c r="G634" i="5"/>
  <c r="H634" i="5"/>
  <c r="I634" i="5"/>
  <c r="J634" i="5"/>
  <c r="M634" i="5"/>
  <c r="N634" i="5"/>
  <c r="K635" i="5"/>
  <c r="K634" i="5" s="1"/>
  <c r="G649" i="5"/>
  <c r="H649" i="5"/>
  <c r="I649" i="5"/>
  <c r="J649" i="5"/>
  <c r="M649" i="5"/>
  <c r="N649" i="5"/>
  <c r="K650" i="5"/>
  <c r="K649" i="5" s="1"/>
  <c r="G653" i="5"/>
  <c r="H653" i="5"/>
  <c r="I653" i="5"/>
  <c r="J653" i="5"/>
  <c r="K653" i="5"/>
  <c r="M653" i="5"/>
  <c r="N653" i="5"/>
  <c r="G663" i="5"/>
  <c r="H663" i="5"/>
  <c r="I663" i="5"/>
  <c r="J663" i="5"/>
  <c r="M663" i="5"/>
  <c r="N663" i="5"/>
  <c r="K664" i="5"/>
  <c r="K667" i="5"/>
  <c r="G676" i="5"/>
  <c r="H676" i="5"/>
  <c r="I676" i="5"/>
  <c r="J676" i="5"/>
  <c r="K676" i="5"/>
  <c r="M676" i="5"/>
  <c r="N676" i="5"/>
  <c r="G688" i="5"/>
  <c r="H688" i="5"/>
  <c r="I688" i="5"/>
  <c r="J688" i="5"/>
  <c r="M688" i="5"/>
  <c r="N688" i="5"/>
  <c r="K690" i="5"/>
  <c r="K688" i="5" s="1"/>
  <c r="G691" i="5"/>
  <c r="H691" i="5"/>
  <c r="I691" i="5"/>
  <c r="J691" i="5"/>
  <c r="M691" i="5"/>
  <c r="K692" i="5"/>
  <c r="K693" i="5"/>
  <c r="K694" i="5"/>
  <c r="K695" i="5"/>
  <c r="K696" i="5"/>
  <c r="K697" i="5"/>
  <c r="K698" i="5"/>
  <c r="K699" i="5"/>
  <c r="K700" i="5"/>
  <c r="G704" i="5"/>
  <c r="H704" i="5"/>
  <c r="I704" i="5"/>
  <c r="J704" i="5"/>
  <c r="K704" i="5"/>
  <c r="M704" i="5"/>
  <c r="N704" i="5"/>
  <c r="G717" i="5"/>
  <c r="H717" i="5"/>
  <c r="I717" i="5"/>
  <c r="J717" i="5"/>
  <c r="M717" i="5"/>
  <c r="N717" i="5"/>
  <c r="K719" i="5"/>
  <c r="K720" i="5"/>
  <c r="K721" i="5"/>
  <c r="K723" i="5"/>
  <c r="G761" i="5"/>
  <c r="I761" i="5"/>
  <c r="J761" i="5"/>
  <c r="K761" i="5"/>
  <c r="M761" i="5"/>
  <c r="N761" i="5"/>
  <c r="G774" i="5"/>
  <c r="H774" i="5"/>
  <c r="I774" i="5"/>
  <c r="J774" i="5"/>
  <c r="M774" i="5"/>
  <c r="N774" i="5"/>
  <c r="K775" i="5"/>
  <c r="K776" i="5"/>
  <c r="G777" i="5"/>
  <c r="H777" i="5"/>
  <c r="I777" i="5"/>
  <c r="J777" i="5"/>
  <c r="M777" i="5"/>
  <c r="N777" i="5"/>
  <c r="K778" i="5"/>
  <c r="K779" i="5"/>
  <c r="K780" i="5"/>
  <c r="K782" i="5"/>
  <c r="K783" i="5"/>
  <c r="K784" i="5"/>
  <c r="K786" i="5"/>
  <c r="G790" i="5"/>
  <c r="H790" i="5"/>
  <c r="I790" i="5"/>
  <c r="J790" i="5"/>
  <c r="K790" i="5"/>
  <c r="M790" i="5"/>
  <c r="N790" i="5"/>
  <c r="G799" i="5"/>
  <c r="H799" i="5"/>
  <c r="I799" i="5"/>
  <c r="J799" i="5"/>
  <c r="K799" i="5"/>
  <c r="M799" i="5"/>
  <c r="N799" i="5"/>
  <c r="G819" i="5"/>
  <c r="H819" i="5"/>
  <c r="I819" i="5"/>
  <c r="J819" i="5"/>
  <c r="K819" i="5"/>
  <c r="M819" i="5"/>
  <c r="N819" i="5"/>
  <c r="G824" i="5"/>
  <c r="H824" i="5"/>
  <c r="I824" i="5"/>
  <c r="J824" i="5"/>
  <c r="K824" i="5"/>
  <c r="M824" i="5"/>
  <c r="N824" i="5"/>
  <c r="G826" i="5"/>
  <c r="H826" i="5"/>
  <c r="I826" i="5"/>
  <c r="J826" i="5"/>
  <c r="M826" i="5"/>
  <c r="N826" i="5"/>
  <c r="K827" i="5"/>
  <c r="K828" i="5"/>
  <c r="K831" i="5"/>
  <c r="G834" i="5"/>
  <c r="H834" i="5"/>
  <c r="I834" i="5"/>
  <c r="J834" i="5"/>
  <c r="K834" i="5"/>
  <c r="M834" i="5"/>
  <c r="N834" i="5"/>
  <c r="G845" i="5"/>
  <c r="H845" i="5"/>
  <c r="I845" i="5"/>
  <c r="J845" i="5"/>
  <c r="K845" i="5"/>
  <c r="M845" i="5"/>
  <c r="N845" i="5"/>
  <c r="G847" i="5"/>
  <c r="H847" i="5"/>
  <c r="I847" i="5"/>
  <c r="J847" i="5"/>
  <c r="M847" i="5"/>
  <c r="N847" i="5"/>
  <c r="K848" i="5"/>
  <c r="K849" i="5"/>
  <c r="K850" i="5"/>
  <c r="K854" i="5"/>
  <c r="G859" i="5"/>
  <c r="H859" i="5"/>
  <c r="I859" i="5"/>
  <c r="J859" i="5"/>
  <c r="K859" i="5"/>
  <c r="M859" i="5"/>
  <c r="N859" i="5"/>
  <c r="K872" i="5"/>
  <c r="K875" i="5"/>
  <c r="G878" i="5"/>
  <c r="H878" i="5"/>
  <c r="I878" i="5"/>
  <c r="J878" i="5"/>
  <c r="K878" i="5"/>
  <c r="M878" i="5"/>
  <c r="N878" i="5"/>
  <c r="H885" i="5"/>
  <c r="I885" i="5"/>
  <c r="J885" i="5"/>
  <c r="M885" i="5"/>
  <c r="N885" i="5"/>
  <c r="K888" i="5"/>
  <c r="K931" i="5"/>
  <c r="K934" i="5"/>
  <c r="K939" i="5"/>
  <c r="G948" i="5"/>
  <c r="H948" i="5"/>
  <c r="I948" i="5"/>
  <c r="J948" i="5"/>
  <c r="K948" i="5"/>
  <c r="M948" i="5"/>
  <c r="N948" i="5"/>
  <c r="G951" i="5"/>
  <c r="H951" i="5"/>
  <c r="I951" i="5"/>
  <c r="J951" i="5"/>
  <c r="K951" i="5"/>
  <c r="M951" i="5"/>
  <c r="N951" i="5"/>
  <c r="G2" i="3"/>
  <c r="H2" i="3"/>
  <c r="I2" i="3"/>
  <c r="J2" i="3"/>
  <c r="K2" i="3"/>
  <c r="L2" i="3"/>
  <c r="M2" i="3"/>
  <c r="F2" i="3"/>
  <c r="K9" i="6" l="1"/>
  <c r="I9" i="6"/>
  <c r="G9" i="6"/>
  <c r="F10" i="8"/>
  <c r="H10" i="8"/>
  <c r="I40" i="8"/>
  <c r="J10" i="8"/>
  <c r="I27" i="8"/>
  <c r="N182" i="5"/>
  <c r="M564" i="5"/>
  <c r="L877" i="5"/>
  <c r="K515" i="5"/>
  <c r="K506" i="5" s="1"/>
  <c r="H9" i="6"/>
  <c r="J9" i="6"/>
  <c r="L564" i="5"/>
  <c r="L652" i="5"/>
  <c r="N564" i="5"/>
  <c r="N506" i="5"/>
  <c r="L638" i="5"/>
  <c r="L610" i="5"/>
  <c r="L833" i="5"/>
  <c r="L803" i="5"/>
  <c r="L585" i="5"/>
  <c r="N457" i="5"/>
  <c r="M457" i="5"/>
  <c r="L760" i="5"/>
  <c r="L818" i="5"/>
  <c r="L746" i="5"/>
  <c r="L789" i="5"/>
  <c r="L703" i="5"/>
  <c r="L524" i="5"/>
  <c r="L724" i="5"/>
  <c r="G199" i="5"/>
  <c r="H199" i="5"/>
  <c r="L622" i="5"/>
  <c r="L675" i="5"/>
  <c r="L858" i="5"/>
  <c r="L543" i="5"/>
  <c r="L947" i="5"/>
  <c r="I199" i="5"/>
  <c r="M506" i="5"/>
  <c r="M724" i="5"/>
  <c r="J199" i="5"/>
  <c r="L199" i="5"/>
  <c r="N199" i="5"/>
  <c r="M199" i="5"/>
  <c r="N724" i="5"/>
  <c r="G803" i="5"/>
  <c r="G746" i="5"/>
  <c r="H803" i="5"/>
  <c r="G735" i="5"/>
  <c r="G724" i="5" s="1"/>
  <c r="H622" i="5"/>
  <c r="H457" i="5"/>
  <c r="H760" i="5"/>
  <c r="N746" i="5"/>
  <c r="M746" i="5"/>
  <c r="G457" i="5"/>
  <c r="L457" i="5"/>
  <c r="K457" i="5"/>
  <c r="J457" i="5"/>
  <c r="I457" i="5"/>
  <c r="H746" i="5"/>
  <c r="I746" i="5"/>
  <c r="J746" i="5"/>
  <c r="H724" i="5"/>
  <c r="K757" i="5"/>
  <c r="K746" i="5" s="1"/>
  <c r="K724" i="5"/>
  <c r="I724" i="5"/>
  <c r="K870" i="5"/>
  <c r="K858" i="5" s="1"/>
  <c r="J724" i="5"/>
  <c r="I803" i="5"/>
  <c r="J803" i="5"/>
  <c r="K803" i="5"/>
  <c r="M803" i="5"/>
  <c r="N803" i="5"/>
  <c r="K404" i="5"/>
  <c r="G564" i="5"/>
  <c r="K341" i="5"/>
  <c r="K340" i="5" s="1"/>
  <c r="G638" i="5"/>
  <c r="J245" i="5"/>
  <c r="L279" i="5"/>
  <c r="I245" i="5"/>
  <c r="K564" i="5"/>
  <c r="I489" i="5"/>
  <c r="I488" i="5" s="1"/>
  <c r="H245" i="5"/>
  <c r="G245" i="5"/>
  <c r="H638" i="5"/>
  <c r="I211" i="5"/>
  <c r="I170" i="5"/>
  <c r="I169" i="5" s="1"/>
  <c r="G211" i="5"/>
  <c r="N211" i="5"/>
  <c r="K245" i="5"/>
  <c r="N292" i="5"/>
  <c r="M366" i="5"/>
  <c r="M365" i="5" s="1"/>
  <c r="M292" i="5"/>
  <c r="L292" i="5"/>
  <c r="L355" i="5"/>
  <c r="J315" i="5"/>
  <c r="J445" i="5"/>
  <c r="K524" i="5"/>
  <c r="H506" i="5"/>
  <c r="J355" i="5"/>
  <c r="L235" i="5"/>
  <c r="J543" i="5"/>
  <c r="I355" i="5"/>
  <c r="L506" i="5"/>
  <c r="M652" i="5"/>
  <c r="M610" i="5"/>
  <c r="H355" i="5"/>
  <c r="J703" i="5"/>
  <c r="I703" i="5"/>
  <c r="J652" i="5"/>
  <c r="K292" i="5"/>
  <c r="H703" i="5"/>
  <c r="I652" i="5"/>
  <c r="H211" i="5"/>
  <c r="H170" i="5"/>
  <c r="H169" i="5" s="1"/>
  <c r="J252" i="5"/>
  <c r="I252" i="5"/>
  <c r="G170" i="5"/>
  <c r="G169" i="5" s="1"/>
  <c r="N170" i="5"/>
  <c r="N169" i="5" s="1"/>
  <c r="M263" i="5"/>
  <c r="M170" i="5"/>
  <c r="M169" i="5" s="1"/>
  <c r="G158" i="5"/>
  <c r="G157" i="5" s="1"/>
  <c r="L170" i="5"/>
  <c r="L169" i="5" s="1"/>
  <c r="J292" i="5"/>
  <c r="J263" i="5"/>
  <c r="I263" i="5"/>
  <c r="H252" i="5"/>
  <c r="H330" i="5"/>
  <c r="I543" i="5"/>
  <c r="K610" i="5"/>
  <c r="H543" i="5"/>
  <c r="M279" i="5"/>
  <c r="N355" i="5"/>
  <c r="G292" i="5"/>
  <c r="M340" i="5"/>
  <c r="L340" i="5"/>
  <c r="N404" i="5"/>
  <c r="G506" i="5"/>
  <c r="I622" i="5"/>
  <c r="M245" i="5"/>
  <c r="G622" i="5"/>
  <c r="G610" i="5"/>
  <c r="J585" i="5"/>
  <c r="M524" i="5"/>
  <c r="M404" i="5"/>
  <c r="M355" i="5"/>
  <c r="G330" i="5"/>
  <c r="G703" i="5"/>
  <c r="H652" i="5"/>
  <c r="L245" i="5"/>
  <c r="K217" i="5"/>
  <c r="K211" i="5" s="1"/>
  <c r="L404" i="5"/>
  <c r="K188" i="5"/>
  <c r="K182" i="5" s="1"/>
  <c r="L29" i="5"/>
  <c r="L2" i="5" s="1"/>
  <c r="K777" i="5"/>
  <c r="J675" i="5"/>
  <c r="G315" i="5"/>
  <c r="I858" i="5"/>
  <c r="K826" i="5"/>
  <c r="K818" i="5" s="1"/>
  <c r="I404" i="5"/>
  <c r="N390" i="5"/>
  <c r="N315" i="5"/>
  <c r="H298" i="5"/>
  <c r="L182" i="5"/>
  <c r="H858" i="5"/>
  <c r="H404" i="5"/>
  <c r="M390" i="5"/>
  <c r="J366" i="5"/>
  <c r="J365" i="5" s="1"/>
  <c r="G298" i="5"/>
  <c r="N235" i="5"/>
  <c r="J182" i="5"/>
  <c r="K496" i="5"/>
  <c r="K489" i="5" s="1"/>
  <c r="K488" i="5" s="1"/>
  <c r="K423" i="5"/>
  <c r="K416" i="5" s="1"/>
  <c r="G252" i="5"/>
  <c r="K273" i="5"/>
  <c r="K263" i="5" s="1"/>
  <c r="G390" i="5"/>
  <c r="I298" i="5"/>
  <c r="M182" i="5"/>
  <c r="G858" i="5"/>
  <c r="G404" i="5"/>
  <c r="M235" i="5"/>
  <c r="I182" i="5"/>
  <c r="N410" i="5"/>
  <c r="N409" i="5" s="1"/>
  <c r="N376" i="5"/>
  <c r="N375" i="5" s="1"/>
  <c r="N245" i="5"/>
  <c r="G182" i="5"/>
  <c r="L376" i="5"/>
  <c r="L375" i="5" s="1"/>
  <c r="H390" i="5"/>
  <c r="K947" i="5"/>
  <c r="J489" i="5"/>
  <c r="J488" i="5" s="1"/>
  <c r="J410" i="5"/>
  <c r="J409" i="5" s="1"/>
  <c r="I330" i="5"/>
  <c r="H315" i="5"/>
  <c r="G355" i="5"/>
  <c r="M858" i="5"/>
  <c r="G366" i="5"/>
  <c r="G365" i="5" s="1"/>
  <c r="I410" i="5"/>
  <c r="I409" i="5" s="1"/>
  <c r="I947" i="5"/>
  <c r="M789" i="5"/>
  <c r="M445" i="5"/>
  <c r="H410" i="5"/>
  <c r="H409" i="5" s="1"/>
  <c r="H29" i="5"/>
  <c r="H2" i="5" s="1"/>
  <c r="I315" i="5"/>
  <c r="M29" i="5"/>
  <c r="M2" i="5" s="1"/>
  <c r="J404" i="5"/>
  <c r="K717" i="5"/>
  <c r="K703" i="5" s="1"/>
  <c r="L390" i="5"/>
  <c r="I366" i="5"/>
  <c r="I365" i="5" s="1"/>
  <c r="N858" i="5"/>
  <c r="K663" i="5"/>
  <c r="K652" i="5" s="1"/>
  <c r="H366" i="5"/>
  <c r="H365" i="5" s="1"/>
  <c r="H182" i="5"/>
  <c r="J390" i="5"/>
  <c r="M376" i="5"/>
  <c r="M375" i="5" s="1"/>
  <c r="I818" i="5"/>
  <c r="I390" i="5"/>
  <c r="J330" i="5"/>
  <c r="J947" i="5"/>
  <c r="N445" i="5"/>
  <c r="K176" i="5"/>
  <c r="K170" i="5" s="1"/>
  <c r="K169" i="5" s="1"/>
  <c r="H947" i="5"/>
  <c r="I564" i="5"/>
  <c r="J506" i="5"/>
  <c r="L445" i="5"/>
  <c r="M431" i="5"/>
  <c r="G410" i="5"/>
  <c r="G409" i="5" s="1"/>
  <c r="L211" i="5"/>
  <c r="J340" i="5"/>
  <c r="J818" i="5"/>
  <c r="N789" i="5"/>
  <c r="N279" i="5"/>
  <c r="G947" i="5"/>
  <c r="H564" i="5"/>
  <c r="I506" i="5"/>
  <c r="K164" i="5"/>
  <c r="K158" i="5" s="1"/>
  <c r="K157" i="5" s="1"/>
  <c r="N416" i="5"/>
  <c r="K252" i="5"/>
  <c r="M211" i="5"/>
  <c r="I585" i="5"/>
  <c r="J376" i="5"/>
  <c r="J375" i="5" s="1"/>
  <c r="N298" i="5"/>
  <c r="K622" i="5"/>
  <c r="L252" i="5"/>
  <c r="N675" i="5"/>
  <c r="H524" i="5"/>
  <c r="G431" i="5"/>
  <c r="J298" i="5"/>
  <c r="M675" i="5"/>
  <c r="M585" i="5"/>
  <c r="G524" i="5"/>
  <c r="J464" i="5"/>
  <c r="K438" i="5"/>
  <c r="K431" i="5" s="1"/>
  <c r="I416" i="5"/>
  <c r="G263" i="5"/>
  <c r="N223" i="5"/>
  <c r="N947" i="5"/>
  <c r="I877" i="5"/>
  <c r="K789" i="5"/>
  <c r="K774" i="5"/>
  <c r="N638" i="5"/>
  <c r="N524" i="5"/>
  <c r="I464" i="5"/>
  <c r="N431" i="5"/>
  <c r="H416" i="5"/>
  <c r="K370" i="5"/>
  <c r="K366" i="5" s="1"/>
  <c r="K365" i="5" s="1"/>
  <c r="M223" i="5"/>
  <c r="N158" i="5"/>
  <c r="N157" i="5" s="1"/>
  <c r="K227" i="5"/>
  <c r="K223" i="5" s="1"/>
  <c r="N877" i="5"/>
  <c r="H585" i="5"/>
  <c r="K397" i="5"/>
  <c r="K390" i="5" s="1"/>
  <c r="J524" i="5"/>
  <c r="L416" i="5"/>
  <c r="I158" i="5"/>
  <c r="I157" i="5" s="1"/>
  <c r="N585" i="5"/>
  <c r="N833" i="5"/>
  <c r="J789" i="5"/>
  <c r="N760" i="5"/>
  <c r="H464" i="5"/>
  <c r="G416" i="5"/>
  <c r="N366" i="5"/>
  <c r="N365" i="5" s="1"/>
  <c r="N330" i="5"/>
  <c r="J223" i="5"/>
  <c r="M158" i="5"/>
  <c r="M157" i="5" s="1"/>
  <c r="K29" i="5"/>
  <c r="K2" i="5" s="1"/>
  <c r="I675" i="5"/>
  <c r="I29" i="5"/>
  <c r="I2" i="5" s="1"/>
  <c r="I445" i="5"/>
  <c r="M833" i="5"/>
  <c r="G464" i="5"/>
  <c r="L158" i="5"/>
  <c r="L157" i="5" s="1"/>
  <c r="H789" i="5"/>
  <c r="J431" i="5"/>
  <c r="M410" i="5"/>
  <c r="M409" i="5" s="1"/>
  <c r="L366" i="5"/>
  <c r="L365" i="5" s="1"/>
  <c r="L330" i="5"/>
  <c r="H223" i="5"/>
  <c r="K204" i="5"/>
  <c r="K199" i="5" s="1"/>
  <c r="G818" i="5"/>
  <c r="G789" i="5"/>
  <c r="J638" i="5"/>
  <c r="N489" i="5"/>
  <c r="N488" i="5" s="1"/>
  <c r="N464" i="5"/>
  <c r="I431" i="5"/>
  <c r="L410" i="5"/>
  <c r="L409" i="5" s="1"/>
  <c r="I340" i="5"/>
  <c r="J279" i="5"/>
  <c r="J235" i="5"/>
  <c r="G223" i="5"/>
  <c r="J29" i="5"/>
  <c r="J2" i="5" s="1"/>
  <c r="H818" i="5"/>
  <c r="H445" i="5"/>
  <c r="G675" i="5"/>
  <c r="K598" i="5"/>
  <c r="K585" i="5" s="1"/>
  <c r="G760" i="5"/>
  <c r="H263" i="5"/>
  <c r="H877" i="5"/>
  <c r="J833" i="5"/>
  <c r="N703" i="5"/>
  <c r="I638" i="5"/>
  <c r="J610" i="5"/>
  <c r="M489" i="5"/>
  <c r="M488" i="5" s="1"/>
  <c r="M464" i="5"/>
  <c r="K449" i="5"/>
  <c r="K445" i="5" s="1"/>
  <c r="H431" i="5"/>
  <c r="K410" i="5"/>
  <c r="K409" i="5" s="1"/>
  <c r="H340" i="5"/>
  <c r="I279" i="5"/>
  <c r="I235" i="5"/>
  <c r="K335" i="5"/>
  <c r="K330" i="5" s="1"/>
  <c r="H675" i="5"/>
  <c r="N252" i="5"/>
  <c r="I760" i="5"/>
  <c r="M298" i="5"/>
  <c r="I524" i="5"/>
  <c r="K877" i="5"/>
  <c r="J416" i="5"/>
  <c r="H158" i="5"/>
  <c r="H157" i="5" s="1"/>
  <c r="M947" i="5"/>
  <c r="G877" i="5"/>
  <c r="M760" i="5"/>
  <c r="H489" i="5"/>
  <c r="H488" i="5" s="1"/>
  <c r="L431" i="5"/>
  <c r="M330" i="5"/>
  <c r="I223" i="5"/>
  <c r="I833" i="5"/>
  <c r="M703" i="5"/>
  <c r="G652" i="5"/>
  <c r="I610" i="5"/>
  <c r="G543" i="5"/>
  <c r="L489" i="5"/>
  <c r="L488" i="5" s="1"/>
  <c r="L464" i="5"/>
  <c r="G340" i="5"/>
  <c r="H279" i="5"/>
  <c r="H235" i="5"/>
  <c r="K324" i="5"/>
  <c r="K315" i="5" s="1"/>
  <c r="M416" i="5"/>
  <c r="G585" i="5"/>
  <c r="M252" i="5"/>
  <c r="M818" i="5"/>
  <c r="L298" i="5"/>
  <c r="L223" i="5"/>
  <c r="K383" i="5"/>
  <c r="K376" i="5" s="1"/>
  <c r="K375" i="5" s="1"/>
  <c r="L263" i="5"/>
  <c r="K885" i="5"/>
  <c r="G489" i="5"/>
  <c r="G488" i="5" s="1"/>
  <c r="N652" i="5"/>
  <c r="H610" i="5"/>
  <c r="J564" i="5"/>
  <c r="N543" i="5"/>
  <c r="K355" i="5"/>
  <c r="I292" i="5"/>
  <c r="G279" i="5"/>
  <c r="G235" i="5"/>
  <c r="K557" i="5"/>
  <c r="K543" i="5" s="1"/>
  <c r="K239" i="5"/>
  <c r="K235" i="5" s="1"/>
  <c r="J760" i="5"/>
  <c r="I376" i="5"/>
  <c r="I375" i="5" s="1"/>
  <c r="N818" i="5"/>
  <c r="G445" i="5"/>
  <c r="J622" i="5"/>
  <c r="G376" i="5"/>
  <c r="G375" i="5" s="1"/>
  <c r="I789" i="5"/>
  <c r="K638" i="5"/>
  <c r="G833" i="5"/>
  <c r="M543" i="5"/>
  <c r="M315" i="5"/>
  <c r="H292" i="5"/>
  <c r="N29" i="5"/>
  <c r="N2" i="5" s="1"/>
  <c r="K285" i="5"/>
  <c r="K279" i="5" s="1"/>
  <c r="M622" i="5"/>
  <c r="M877" i="5"/>
  <c r="H376" i="5"/>
  <c r="H375" i="5" s="1"/>
  <c r="J158" i="5"/>
  <c r="J157" i="5" s="1"/>
  <c r="J858" i="5"/>
  <c r="K847" i="5"/>
  <c r="K833" i="5" s="1"/>
  <c r="N610" i="5"/>
  <c r="N340" i="5"/>
  <c r="L315" i="5"/>
  <c r="N263" i="5"/>
  <c r="J170" i="5"/>
  <c r="J169" i="5" s="1"/>
  <c r="G29" i="5"/>
  <c r="G2" i="5" s="1"/>
  <c r="I11" i="8"/>
  <c r="I10" i="8" s="1"/>
  <c r="F9" i="7"/>
  <c r="G9" i="7"/>
  <c r="J9" i="7"/>
  <c r="H9" i="7"/>
  <c r="I9" i="7"/>
  <c r="K9" i="7"/>
  <c r="E9" i="7"/>
  <c r="D9" i="7"/>
  <c r="D9" i="6"/>
  <c r="E9" i="6"/>
  <c r="F9" i="6"/>
  <c r="N622" i="5"/>
  <c r="K307" i="5"/>
  <c r="K298" i="5" s="1"/>
  <c r="K691" i="5"/>
  <c r="K675" i="5" s="1"/>
  <c r="J877" i="5"/>
  <c r="K476" i="5"/>
  <c r="K464" i="5" s="1"/>
  <c r="H833" i="5"/>
  <c r="M638" i="5"/>
  <c r="F99" i="3"/>
  <c r="G99" i="3"/>
  <c r="H99" i="3"/>
  <c r="F96" i="3"/>
  <c r="G96" i="3"/>
  <c r="H96" i="3"/>
  <c r="F87" i="3"/>
  <c r="F86" i="3" s="1"/>
  <c r="G87" i="3"/>
  <c r="H87" i="3"/>
  <c r="F83" i="3"/>
  <c r="G83" i="3"/>
  <c r="H83" i="3"/>
  <c r="F81" i="3"/>
  <c r="H81" i="3"/>
  <c r="F67" i="3"/>
  <c r="G67" i="3"/>
  <c r="H67" i="3"/>
  <c r="F64" i="3"/>
  <c r="G64" i="3"/>
  <c r="H64" i="3"/>
  <c r="F54" i="3"/>
  <c r="G54" i="3"/>
  <c r="H54" i="3"/>
  <c r="F50" i="3"/>
  <c r="G50" i="3"/>
  <c r="H50" i="3"/>
  <c r="F48" i="3"/>
  <c r="G48" i="3"/>
  <c r="H48" i="3"/>
  <c r="F44" i="3"/>
  <c r="G44" i="3"/>
  <c r="H44" i="3"/>
  <c r="F39" i="3"/>
  <c r="G39" i="3"/>
  <c r="H39" i="3"/>
  <c r="F37" i="3"/>
  <c r="G37" i="3"/>
  <c r="H37" i="3"/>
  <c r="E2" i="4"/>
  <c r="F2" i="4"/>
  <c r="G2" i="4"/>
  <c r="H2" i="4"/>
  <c r="I2" i="4"/>
  <c r="J2" i="4"/>
  <c r="K2" i="4"/>
  <c r="L2" i="4"/>
  <c r="E9" i="4"/>
  <c r="F9" i="4"/>
  <c r="G9" i="4"/>
  <c r="H9" i="4"/>
  <c r="I9" i="4"/>
  <c r="J9" i="4"/>
  <c r="K9" i="4"/>
  <c r="L9" i="4"/>
  <c r="E20" i="4"/>
  <c r="F20" i="4"/>
  <c r="G20" i="4"/>
  <c r="H20" i="4"/>
  <c r="J20" i="4"/>
  <c r="K20" i="4"/>
  <c r="L20" i="4"/>
  <c r="I22" i="4"/>
  <c r="I23" i="4"/>
  <c r="I24" i="4"/>
  <c r="K99" i="3"/>
  <c r="L99" i="3"/>
  <c r="M99" i="3"/>
  <c r="I99" i="3"/>
  <c r="K96" i="3"/>
  <c r="L96" i="3"/>
  <c r="M96" i="3"/>
  <c r="I96" i="3"/>
  <c r="J87" i="3"/>
  <c r="K87" i="3"/>
  <c r="L87" i="3"/>
  <c r="M87" i="3"/>
  <c r="I87" i="3"/>
  <c r="J83" i="3"/>
  <c r="K83" i="3"/>
  <c r="L83" i="3"/>
  <c r="M83" i="3"/>
  <c r="I83" i="3"/>
  <c r="J81" i="3"/>
  <c r="K81" i="3"/>
  <c r="L81" i="3"/>
  <c r="M81" i="3"/>
  <c r="I81" i="3"/>
  <c r="K67" i="3"/>
  <c r="L67" i="3"/>
  <c r="M67" i="3"/>
  <c r="I67" i="3"/>
  <c r="J64" i="3"/>
  <c r="K64" i="3"/>
  <c r="L64" i="3"/>
  <c r="M64" i="3"/>
  <c r="I64" i="3"/>
  <c r="J54" i="3"/>
  <c r="K54" i="3"/>
  <c r="L54" i="3"/>
  <c r="M54" i="3"/>
  <c r="I54" i="3"/>
  <c r="K50" i="3"/>
  <c r="L50" i="3"/>
  <c r="M50" i="3"/>
  <c r="I50" i="3"/>
  <c r="J48" i="3"/>
  <c r="K48" i="3"/>
  <c r="L48" i="3"/>
  <c r="M48" i="3"/>
  <c r="I48" i="3"/>
  <c r="J44" i="3"/>
  <c r="K44" i="3"/>
  <c r="L44" i="3"/>
  <c r="M44" i="3"/>
  <c r="I44" i="3"/>
  <c r="E12" i="1"/>
  <c r="F12" i="1"/>
  <c r="E9" i="1"/>
  <c r="E8" i="1" s="1"/>
  <c r="E7" i="1" s="1"/>
  <c r="F9" i="1"/>
  <c r="F8" i="1" s="1"/>
  <c r="F7" i="1" s="1"/>
  <c r="E2" i="1"/>
  <c r="F2" i="1"/>
  <c r="I37" i="3"/>
  <c r="J37" i="3"/>
  <c r="K37" i="3"/>
  <c r="L37" i="3"/>
  <c r="I39" i="3"/>
  <c r="J39" i="3"/>
  <c r="K39" i="3"/>
  <c r="L39" i="3"/>
  <c r="M39" i="3"/>
  <c r="M31" i="3" s="1"/>
  <c r="J52" i="3"/>
  <c r="J50" i="3" s="1"/>
  <c r="J70" i="3"/>
  <c r="J72" i="3"/>
  <c r="J98" i="3"/>
  <c r="J96" i="3" s="1"/>
  <c r="J100" i="3"/>
  <c r="J101" i="3"/>
  <c r="J102" i="3"/>
  <c r="J103" i="3"/>
  <c r="J104" i="3"/>
  <c r="J106" i="3"/>
  <c r="J108" i="3"/>
  <c r="G12" i="1"/>
  <c r="G9" i="1"/>
  <c r="G2" i="1"/>
  <c r="H2" i="1"/>
  <c r="I2" i="1"/>
  <c r="J2" i="1"/>
  <c r="K2" i="1"/>
  <c r="L2" i="1"/>
  <c r="H9" i="1"/>
  <c r="I9" i="1"/>
  <c r="J9" i="1"/>
  <c r="K9" i="1"/>
  <c r="L9" i="1"/>
  <c r="L8" i="1" s="1"/>
  <c r="L7" i="1" s="1"/>
  <c r="H12" i="1"/>
  <c r="J12" i="1"/>
  <c r="K12" i="1"/>
  <c r="L12" i="1"/>
  <c r="I13" i="1"/>
  <c r="I12" i="1" s="1"/>
  <c r="L8" i="4" l="1"/>
  <c r="L7" i="4" s="1"/>
  <c r="K8" i="4"/>
  <c r="K7" i="4" s="1"/>
  <c r="J8" i="4"/>
  <c r="J7" i="4" s="1"/>
  <c r="H8" i="4"/>
  <c r="H7" i="4" s="1"/>
  <c r="G8" i="4"/>
  <c r="G7" i="4" s="1"/>
  <c r="F8" i="4"/>
  <c r="F7" i="4" s="1"/>
  <c r="E8" i="4"/>
  <c r="E7" i="4" s="1"/>
  <c r="I8" i="1"/>
  <c r="I7" i="1" s="1"/>
  <c r="G8" i="1"/>
  <c r="G7" i="1" s="1"/>
  <c r="J8" i="1"/>
  <c r="J7" i="1" s="1"/>
  <c r="K8" i="1"/>
  <c r="K7" i="1" s="1"/>
  <c r="H8" i="1"/>
  <c r="H7" i="1" s="1"/>
  <c r="N181" i="5"/>
  <c r="L817" i="5"/>
  <c r="L674" i="5"/>
  <c r="L759" i="5"/>
  <c r="N444" i="5"/>
  <c r="M389" i="5"/>
  <c r="I444" i="5"/>
  <c r="G759" i="5"/>
  <c r="M444" i="5"/>
  <c r="G674" i="5"/>
  <c r="L444" i="5"/>
  <c r="M415" i="5"/>
  <c r="H759" i="5"/>
  <c r="J444" i="5"/>
  <c r="K444" i="5"/>
  <c r="H444" i="5"/>
  <c r="G444" i="5"/>
  <c r="G314" i="5"/>
  <c r="I759" i="5"/>
  <c r="J759" i="5"/>
  <c r="M759" i="5"/>
  <c r="N759" i="5"/>
  <c r="K389" i="5"/>
  <c r="I674" i="5"/>
  <c r="I389" i="5"/>
  <c r="J389" i="5"/>
  <c r="J314" i="5"/>
  <c r="J674" i="5"/>
  <c r="G817" i="5"/>
  <c r="N505" i="5"/>
  <c r="H674" i="5"/>
  <c r="M314" i="5"/>
  <c r="K760" i="5"/>
  <c r="K759" i="5" s="1"/>
  <c r="N314" i="5"/>
  <c r="H389" i="5"/>
  <c r="G505" i="5"/>
  <c r="N389" i="5"/>
  <c r="I415" i="5"/>
  <c r="K415" i="5"/>
  <c r="L505" i="5"/>
  <c r="J415" i="5"/>
  <c r="J817" i="5"/>
  <c r="H314" i="5"/>
  <c r="H505" i="5"/>
  <c r="L314" i="5"/>
  <c r="L415" i="5"/>
  <c r="L389" i="5"/>
  <c r="J505" i="5"/>
  <c r="K817" i="5"/>
  <c r="N674" i="5"/>
  <c r="I181" i="5"/>
  <c r="G181" i="5"/>
  <c r="N817" i="5"/>
  <c r="I505" i="5"/>
  <c r="K674" i="5"/>
  <c r="H181" i="5"/>
  <c r="K505" i="5"/>
  <c r="M181" i="5"/>
  <c r="H817" i="5"/>
  <c r="I314" i="5"/>
  <c r="G389" i="5"/>
  <c r="M817" i="5"/>
  <c r="J181" i="5"/>
  <c r="I817" i="5"/>
  <c r="L181" i="5"/>
  <c r="K181" i="5"/>
  <c r="M674" i="5"/>
  <c r="K314" i="5"/>
  <c r="H415" i="5"/>
  <c r="G415" i="5"/>
  <c r="N415" i="5"/>
  <c r="M505" i="5"/>
  <c r="G53" i="3"/>
  <c r="F53" i="3"/>
  <c r="F43" i="3"/>
  <c r="I20" i="4"/>
  <c r="I8" i="4" s="1"/>
  <c r="I7" i="4" s="1"/>
  <c r="G43" i="3"/>
  <c r="H76" i="3"/>
  <c r="H53" i="3"/>
  <c r="G31" i="3"/>
  <c r="F76" i="3"/>
  <c r="G86" i="3"/>
  <c r="G76" i="3"/>
  <c r="F31" i="3"/>
  <c r="F30" i="3" s="1"/>
  <c r="F29" i="3" s="1"/>
  <c r="H43" i="3"/>
  <c r="H31" i="3"/>
  <c r="H86" i="3"/>
  <c r="M43" i="3"/>
  <c r="L86" i="3"/>
  <c r="K86" i="3"/>
  <c r="I86" i="3"/>
  <c r="M86" i="3"/>
  <c r="J99" i="3"/>
  <c r="J86" i="3" s="1"/>
  <c r="L76" i="3"/>
  <c r="K76" i="3"/>
  <c r="J76" i="3"/>
  <c r="M76" i="3"/>
  <c r="I76" i="3"/>
  <c r="I53" i="3"/>
  <c r="K53" i="3"/>
  <c r="M53" i="3"/>
  <c r="L53" i="3"/>
  <c r="J67" i="3"/>
  <c r="J53" i="3" s="1"/>
  <c r="K43" i="3"/>
  <c r="L43" i="3"/>
  <c r="I43" i="3"/>
  <c r="J43" i="3"/>
  <c r="L31" i="3"/>
  <c r="L30" i="3" s="1"/>
  <c r="L29" i="3" s="1"/>
  <c r="K31" i="3"/>
  <c r="J31" i="3"/>
  <c r="I31" i="3"/>
  <c r="I30" i="3" l="1"/>
  <c r="I29" i="3" s="1"/>
  <c r="J30" i="3"/>
  <c r="J29" i="3" s="1"/>
  <c r="K30" i="3"/>
  <c r="K29" i="3" s="1"/>
  <c r="M30" i="3"/>
  <c r="M29" i="3" s="1"/>
  <c r="H30" i="3"/>
  <c r="H29" i="3" s="1"/>
  <c r="G30" i="3"/>
  <c r="G29" i="3" s="1"/>
  <c r="N156" i="5"/>
  <c r="N155" i="5" s="1"/>
  <c r="G156" i="5"/>
  <c r="G155" i="5" s="1"/>
  <c r="I156" i="5"/>
  <c r="I155" i="5" s="1"/>
  <c r="K156" i="5"/>
  <c r="K155" i="5" s="1"/>
  <c r="L156" i="5"/>
  <c r="L155" i="5" s="1"/>
  <c r="J156" i="5"/>
  <c r="J155" i="5" s="1"/>
  <c r="H156" i="5"/>
  <c r="H155" i="5" s="1"/>
  <c r="M156" i="5"/>
  <c r="M155" i="5" s="1"/>
</calcChain>
</file>

<file path=xl/sharedStrings.xml><?xml version="1.0" encoding="utf-8"?>
<sst xmlns="http://schemas.openxmlformats.org/spreadsheetml/2006/main" count="1386" uniqueCount="521">
  <si>
    <t>GENRERAL FUND</t>
  </si>
  <si>
    <t>2019-2020
FY20 Actual</t>
  </si>
  <si>
    <t>2020-2021
FY21 Actual</t>
  </si>
  <si>
    <t>2021-2022
FY22 Actual</t>
  </si>
  <si>
    <t>2022-2023
FY23 Actual</t>
  </si>
  <si>
    <t>2023-2024
FY24 Actual</t>
  </si>
  <si>
    <t>2024-2025
FY25 Budget</t>
  </si>
  <si>
    <t>2024-2025
FY25 Estimate</t>
  </si>
  <si>
    <t>2025-2026
FY26 Proposed</t>
  </si>
  <si>
    <t>Revenues</t>
  </si>
  <si>
    <t>Surpluses &amp; Balances</t>
  </si>
  <si>
    <t>Unreserved, Undesignated</t>
  </si>
  <si>
    <t>Real Property Tax Items</t>
  </si>
  <si>
    <t>410010 School District Tax Buyout</t>
  </si>
  <si>
    <t>410020 Special Lighting Assessments</t>
  </si>
  <si>
    <t>410030 Assessable Improvements</t>
  </si>
  <si>
    <t>410040 Assessable Improvements Buyout</t>
  </si>
  <si>
    <t>410800 Abatement Fund Revenue</t>
  </si>
  <si>
    <t>410810 PILOT - Non-Profit Houses</t>
  </si>
  <si>
    <t>410830 PILOT - Ontrack</t>
  </si>
  <si>
    <t>410840 PILOT - SIDA</t>
  </si>
  <si>
    <t>410850 PILOT - SU DOME</t>
  </si>
  <si>
    <t>410500 Prior Years' Tax Collection</t>
  </si>
  <si>
    <t>410900 Fees &amp; Penalties</t>
  </si>
  <si>
    <t>425940 Light Works Infrastructure Payment</t>
  </si>
  <si>
    <t>Less: Uncollected City Taxes - Current Year</t>
  </si>
  <si>
    <t>Non-Property Tax Items</t>
  </si>
  <si>
    <t>411100 Sales Tax</t>
  </si>
  <si>
    <t>411300 Utilities Gross Receipts Tax</t>
  </si>
  <si>
    <t>411500 Room Occupancy Tax Rate</t>
  </si>
  <si>
    <t>411700 CATV Franchise Fee</t>
  </si>
  <si>
    <t>411710 Right of Way Franchise Fee</t>
  </si>
  <si>
    <t>425910 SU Service Agreement</t>
  </si>
  <si>
    <t>425920 SU Service - Supplemental</t>
  </si>
  <si>
    <t>415900 SU DOME Traffic Reimbursement</t>
  </si>
  <si>
    <t>411400 Cannabis Tax</t>
  </si>
  <si>
    <t>Departmental Income</t>
  </si>
  <si>
    <t>Department of Finance</t>
  </si>
  <si>
    <t>412300 Abstract Fees</t>
  </si>
  <si>
    <t>412310 Duplicate Tax Bill Fee</t>
  </si>
  <si>
    <t>412320 County Tax Collection Fee</t>
  </si>
  <si>
    <t>415800 Parking Restitution Surcharge</t>
  </si>
  <si>
    <t>415810 Handicapped Parking Surcharge</t>
  </si>
  <si>
    <t>425400 License Comm. Bingo Licenses</t>
  </si>
  <si>
    <t>425410 Bingo Receipts</t>
  </si>
  <si>
    <t>425420 License Comm. Games of Chance Receipts</t>
  </si>
  <si>
    <t>425450 Licenses</t>
  </si>
  <si>
    <t>425470 Licenses Comm. Games of Chance Licenses</t>
  </si>
  <si>
    <t>425750 Administrative Adjudication Receipts</t>
  </si>
  <si>
    <t>425950 Service Kill Fees</t>
  </si>
  <si>
    <t>426100 Fines &amp; Penalties Viol/Traffic</t>
  </si>
  <si>
    <t>426102 School Bus Arm Violation</t>
  </si>
  <si>
    <t>426104 School Zone Speed Violation</t>
  </si>
  <si>
    <t>426106 School Zone Red Light Violation</t>
  </si>
  <si>
    <t>426610 Sale of Tax Property</t>
  </si>
  <si>
    <t>427500 Parking Ticket Receipts</t>
  </si>
  <si>
    <t>427520 PVB Court Costs/Charges</t>
  </si>
  <si>
    <t>427710 Returned Check Fees</t>
  </si>
  <si>
    <t>427700 Misc. Receipts</t>
  </si>
  <si>
    <t>Office of the City Clerk</t>
  </si>
  <si>
    <t>412550 City Clerk Licenses</t>
  </si>
  <si>
    <t xml:space="preserve">Division of Code Enforcement
</t>
  </si>
  <si>
    <t>415600 Building Inspection Charges</t>
  </si>
  <si>
    <t>415650 Boardup/Cleanup Charges</t>
  </si>
  <si>
    <t>415660 Cleanup Charges</t>
  </si>
  <si>
    <t>415700 DEMO Charges - Unsafe Building</t>
  </si>
  <si>
    <t>415870 Vacant Property Registry</t>
  </si>
  <si>
    <t>415890 Rental Registry Fees</t>
  </si>
  <si>
    <t>417441 Small Cell Permits</t>
  </si>
  <si>
    <t>422600 Code Enforcement Reimburse-Outside Agencies</t>
  </si>
  <si>
    <t>425500 Building &amp; Property Permits</t>
  </si>
  <si>
    <t>425560 Certificate of Compliance</t>
  </si>
  <si>
    <t>425570 Board of Zoning - Appeals</t>
  </si>
  <si>
    <t>425700 Building &amp; Property Rehab Electric Lic</t>
  </si>
  <si>
    <t>425710 Building &amp; Property Heating Lic</t>
  </si>
  <si>
    <t>425720 Building &amp; Property Elevator Permits</t>
  </si>
  <si>
    <t>425480 Certificates of Use</t>
  </si>
  <si>
    <t xml:space="preserve">Department of Parks, Recreation &amp; Youth Programs
</t>
  </si>
  <si>
    <t>420000 Festival Beverage Revenue</t>
  </si>
  <si>
    <t>420010 P &amp; R Fee &amp; Concessions</t>
  </si>
  <si>
    <t>420020 Clinton Square Rink Fees</t>
  </si>
  <si>
    <t>420250 P &amp; R Ballfield Fees</t>
  </si>
  <si>
    <t>420120 P &amp; R Reimbursement - Outside Agency</t>
  </si>
  <si>
    <t>426110 P &amp; R Animal Control Fines</t>
  </si>
  <si>
    <t>Department of Fire</t>
  </si>
  <si>
    <t>415380 Fire Reimbursement - Ouside Agencies</t>
  </si>
  <si>
    <t>415400 Fire- Reports &amp; Records</t>
  </si>
  <si>
    <t>422620 EMS Reimbursement - New York State</t>
  </si>
  <si>
    <t>415300 Fire Ambulance Billing</t>
  </si>
  <si>
    <t>Department of Police</t>
  </si>
  <si>
    <t>415200 Police Reports, Records &amp; Fingerprints</t>
  </si>
  <si>
    <t>415940 Police Auctioned Evidence</t>
  </si>
  <si>
    <t>412110 City Court Criminal Div</t>
  </si>
  <si>
    <t>415880 Annual Alarm Fee</t>
  </si>
  <si>
    <t>415910 Police Services - Outside Agencies</t>
  </si>
  <si>
    <t>415930 Police Training Classes Rev</t>
  </si>
  <si>
    <t>415950 Police Unclaimed Property</t>
  </si>
  <si>
    <t>427150 City Court Bail Forfeitures</t>
  </si>
  <si>
    <t>Department of Law</t>
  </si>
  <si>
    <t>412200 Housing Court Fines</t>
  </si>
  <si>
    <t>421350 Law Department Reimbursements</t>
  </si>
  <si>
    <t>Department of Public Works</t>
  </si>
  <si>
    <t>415670 Setout Charges</t>
  </si>
  <si>
    <t>417100 DPW Charges for Services</t>
  </si>
  <si>
    <t>417110 DPW Paving Cuts - Non-Refund</t>
  </si>
  <si>
    <t>417120 DPW Charges - Outside Agencies</t>
  </si>
  <si>
    <t>417140 DPW Liability Waiver Permit</t>
  </si>
  <si>
    <t>417150 DPW Block Party Revenue</t>
  </si>
  <si>
    <t>417200 Parking Lots</t>
  </si>
  <si>
    <t>417270 Fayette St Garage</t>
  </si>
  <si>
    <t>417280 Madison Irving Garage</t>
  </si>
  <si>
    <t>417290 Harrison St Garage</t>
  </si>
  <si>
    <t>417310 Washington St Garage</t>
  </si>
  <si>
    <t>417320 Armory Square Garage</t>
  </si>
  <si>
    <t>417330 ONCenter Parking Garage</t>
  </si>
  <si>
    <t>417340 MONY Parking Garage</t>
  </si>
  <si>
    <t>417400 Parking Meter Receipts</t>
  </si>
  <si>
    <t>417420 DPW Loading Zone Permits</t>
  </si>
  <si>
    <t>417421 Overweight/Size Vehicle Permit</t>
  </si>
  <si>
    <t>417430 DPW Sidewalk Permits</t>
  </si>
  <si>
    <t>417440 DPW Sidewalk Cafe Permits</t>
  </si>
  <si>
    <t>421300 Recycling Revenues</t>
  </si>
  <si>
    <t>421310 Refuse &amp; Garbage Charges</t>
  </si>
  <si>
    <t>423010 DPW Charges - Other Gov't</t>
  </si>
  <si>
    <t>427730 Parking Garage Registration</t>
  </si>
  <si>
    <t xml:space="preserve">Department of Assessment
</t>
  </si>
  <si>
    <t>426620 Title Work</t>
  </si>
  <si>
    <t>426630 Appraisal Fees</t>
  </si>
  <si>
    <t>Use of Money &amp; Property</t>
  </si>
  <si>
    <t>424010 Interest of Deposits</t>
  </si>
  <si>
    <t>424020 Bankruptcy Fees</t>
  </si>
  <si>
    <t>424100 Rental of Real Property</t>
  </si>
  <si>
    <t>424140 Rental of Equipment</t>
  </si>
  <si>
    <t>457100 Proceeds From Serial Bonds</t>
  </si>
  <si>
    <t>Sale of Property</t>
  </si>
  <si>
    <t>426500 Sale of Scrap Equipment</t>
  </si>
  <si>
    <t>426750 Gain on Disposal of Assets</t>
  </si>
  <si>
    <t>State Aid</t>
  </si>
  <si>
    <t>430000 State Aid - Misc</t>
  </si>
  <si>
    <t>430050 State Aid - Mortgage Tax</t>
  </si>
  <si>
    <t>430080 State Aid - State Highway Aid</t>
  </si>
  <si>
    <t>438200 State Aid - Youth Projects</t>
  </si>
  <si>
    <t>435210 AIM State Aid</t>
  </si>
  <si>
    <t>435209 Temporary AIM Aid</t>
  </si>
  <si>
    <t>435100 State Aid - Highway Maint</t>
  </si>
  <si>
    <t>Federal Aid</t>
  </si>
  <si>
    <t>Federal American Relief Plan</t>
  </si>
  <si>
    <t>Miscellaneous Revenue</t>
  </si>
  <si>
    <t>423040 Onondaga County Lighting Reimbursement</t>
  </si>
  <si>
    <t>426550 Bid &amp; Specs Revenue</t>
  </si>
  <si>
    <t>426800 Insurance Recoveries</t>
  </si>
  <si>
    <t>426900 Misc Compensation for Loss</t>
  </si>
  <si>
    <t>427000 Medicare Part D Subsidy</t>
  </si>
  <si>
    <t>428010 Aviation Fund Reimbursements</t>
  </si>
  <si>
    <t>450350 Transfer from - Water Fund</t>
  </si>
  <si>
    <t>450360 Transfer from - Sewer Fund</t>
  </si>
  <si>
    <t>427110 Premium on Bonds/RANs</t>
  </si>
  <si>
    <t>450312 Transfer from - Municipal Sidewalks</t>
  </si>
  <si>
    <t>450370 Transfer from - Capital Fund</t>
  </si>
  <si>
    <t>Tax Levy</t>
  </si>
  <si>
    <t>1% Added Pursuant to Law</t>
  </si>
  <si>
    <t>Expenses</t>
  </si>
  <si>
    <t>Departmental Operating Expenditures</t>
  </si>
  <si>
    <t>Common Council</t>
  </si>
  <si>
    <t>Personal Services</t>
  </si>
  <si>
    <t>510100 Salaries</t>
  </si>
  <si>
    <t>510300 Temporary Services-P/T</t>
  </si>
  <si>
    <t xml:space="preserve">Equipment </t>
  </si>
  <si>
    <t>520200 Office Equipment &amp; Furnishings</t>
  </si>
  <si>
    <t xml:space="preserve">Contractual &amp; Other Expenses
</t>
  </si>
  <si>
    <t>540300 Office Supplies</t>
  </si>
  <si>
    <t>540500 Operating Supplies &amp; Expenses</t>
  </si>
  <si>
    <t>541500 Professional Services</t>
  </si>
  <si>
    <t>541600 Travel, Training &amp; Development</t>
  </si>
  <si>
    <t>Citizen Review Board</t>
  </si>
  <si>
    <t>Contractual &amp; Other Expenses</t>
  </si>
  <si>
    <t xml:space="preserve">Executive </t>
  </si>
  <si>
    <t>Office of the Mayor</t>
  </si>
  <si>
    <t>510900 Out of Title Pay</t>
  </si>
  <si>
    <t>519100 Less: Reimbursement from Other Funds</t>
  </si>
  <si>
    <t>519900 Less: Offset From Special Grant Sources</t>
  </si>
  <si>
    <t>541700 Contracted Services-Related Parties</t>
  </si>
  <si>
    <t>541800 Postage &amp; Freight</t>
  </si>
  <si>
    <t>549100 Less: Reimbursements from Other Funds</t>
  </si>
  <si>
    <t>Office of Administration</t>
  </si>
  <si>
    <t>Office of Gun Violence Prevention</t>
  </si>
  <si>
    <t>Office of Communications</t>
  </si>
  <si>
    <t>Office of Accountability, Performance &amp; Innovation (API)</t>
  </si>
  <si>
    <t>541100 Utilities</t>
  </si>
  <si>
    <t>Office of Management &amp; Budget</t>
  </si>
  <si>
    <t>510400 Overtime Wages</t>
  </si>
  <si>
    <t>Division of Purchase</t>
  </si>
  <si>
    <t>Division of Equity Compliance &amp; Social Impact</t>
  </si>
  <si>
    <t xml:space="preserve">510300 Temporary Services-P/T   </t>
  </si>
  <si>
    <t>Equipment</t>
  </si>
  <si>
    <r>
      <rPr>
        <b/>
        <i/>
        <sz val="10"/>
        <rFont val="Arial"/>
        <family val="2"/>
      </rPr>
      <t xml:space="preserve">Contractual &amp; Other Expenses
</t>
    </r>
    <r>
      <rPr>
        <i/>
        <sz val="10"/>
        <rFont val="Arial"/>
        <family val="2"/>
      </rPr>
      <t>540300 Office Supplies</t>
    </r>
  </si>
  <si>
    <t>Office of Personnel &amp; Labor Relations</t>
  </si>
  <si>
    <t xml:space="preserve">Personal Services
</t>
  </si>
  <si>
    <t>510600 Car Allowance</t>
  </si>
  <si>
    <r>
      <rPr>
        <b/>
        <i/>
        <sz val="10"/>
        <rFont val="Arial"/>
        <family val="2"/>
      </rPr>
      <t xml:space="preserve">Equipment
</t>
    </r>
    <r>
      <rPr>
        <i/>
        <sz val="10"/>
        <rFont val="Arial"/>
        <family val="2"/>
      </rPr>
      <t>520200 Office Equipment &amp; Furnishings</t>
    </r>
  </si>
  <si>
    <t>520600 Operating Equipment</t>
  </si>
  <si>
    <t>540700 Equipment Repair, Supplies &amp; Services</t>
  </si>
  <si>
    <t>Bureau of Research</t>
  </si>
  <si>
    <t>Syracuse Opportunity Works</t>
  </si>
  <si>
    <t>Bureau of Information Technology</t>
  </si>
  <si>
    <t>Bureau of City Payment Center</t>
  </si>
  <si>
    <r>
      <rPr>
        <b/>
        <i/>
        <sz val="10"/>
        <rFont val="Arial"/>
        <family val="2"/>
      </rPr>
      <t xml:space="preserve">Personal Services
</t>
    </r>
    <r>
      <rPr>
        <i/>
        <sz val="10"/>
        <rFont val="Arial"/>
        <family val="2"/>
      </rPr>
      <t>510100 Salaries</t>
    </r>
  </si>
  <si>
    <t>543000 Payments to Other Governments</t>
  </si>
  <si>
    <t>Bureau of Accounts</t>
  </si>
  <si>
    <t>Parking Violations Bureau</t>
  </si>
  <si>
    <t>Bureau of Financial Operations</t>
  </si>
  <si>
    <t>Department of Audit</t>
  </si>
  <si>
    <t>Office of the City Auditor</t>
  </si>
  <si>
    <t>Office of the City Clerk</t>
  </si>
  <si>
    <t>City Clerk's Office</t>
  </si>
  <si>
    <t>519300 Less: Reimbursement from Sweeping &amp; Flushing</t>
  </si>
  <si>
    <t>Department of Assessment</t>
  </si>
  <si>
    <t>Board of Assessment Review</t>
  </si>
  <si>
    <t>Board of Zoning Appeals</t>
  </si>
  <si>
    <t>Law Department</t>
  </si>
  <si>
    <t>Bureau of Administrative Adjudication</t>
  </si>
  <si>
    <t>Department of Neighborhood &amp; Business Development</t>
  </si>
  <si>
    <t>Neighborhood &amp; Business Development</t>
  </si>
  <si>
    <t>Division of Minority Affairs</t>
  </si>
  <si>
    <t>Division of Code Enforcement</t>
  </si>
  <si>
    <t>511000 Uniform Allowance</t>
  </si>
  <si>
    <t>540800 Uniforms</t>
  </si>
  <si>
    <t>Division of Planning &amp; Sustainability</t>
  </si>
  <si>
    <t>Department of Engineering</t>
  </si>
  <si>
    <t>Department of Public Works</t>
  </si>
  <si>
    <t>DPW Main Office</t>
  </si>
  <si>
    <t>519000 Out of Title Pay</t>
  </si>
  <si>
    <t>DPW Environmental Services</t>
  </si>
  <si>
    <t>510200 Wages- F/T Weekly</t>
  </si>
  <si>
    <t>510700 Night Shift Differential</t>
  </si>
  <si>
    <t>511200 Contractual Obligations</t>
  </si>
  <si>
    <r>
      <rPr>
        <b/>
        <i/>
        <sz val="10"/>
        <rFont val="Arial"/>
        <family val="2"/>
      </rPr>
      <t xml:space="preserve">Contractual &amp; Other Expenses
</t>
    </r>
    <r>
      <rPr>
        <i/>
        <sz val="10"/>
        <rFont val="Arial"/>
        <family val="2"/>
      </rPr>
      <t>540500 Operating Supplies &amp; Expenses</t>
    </r>
  </si>
  <si>
    <t>DPW Building Services</t>
  </si>
  <si>
    <t>510800 Tool Allowance</t>
  </si>
  <si>
    <t>DPW Street Repair</t>
  </si>
  <si>
    <t>519700 Less: Reimbursement from Street Reconstruction</t>
  </si>
  <si>
    <t>DPW Motor Equipment Maintenance</t>
  </si>
  <si>
    <t>540100 Motor Equipment Operating Supplies</t>
  </si>
  <si>
    <t>540200 Motor Equipment Repair Supplies &amp; Services</t>
  </si>
  <si>
    <t>549300 Less: Reimbursements from Sweeping &amp; Flushing</t>
  </si>
  <si>
    <t>549700 Less: Reimbursements from Street Reconstruction</t>
  </si>
  <si>
    <t>DPW Snow &amp; Ice Control</t>
  </si>
  <si>
    <t>DPW Waste Collection, Recycling &amp; Disposal</t>
  </si>
  <si>
    <t>519100 Less: Reimbursements from Other Funds</t>
  </si>
  <si>
    <t>DPW Street Cleaning</t>
  </si>
  <si>
    <t>DPW Transportation</t>
  </si>
  <si>
    <t>Police Field Services - Sworn</t>
  </si>
  <si>
    <t>510500 Holiday Pay</t>
  </si>
  <si>
    <t>511100 Vaulted Pay</t>
  </si>
  <si>
    <t>511300 Sick Time Buy Back</t>
  </si>
  <si>
    <t>511500 Police/ Fire Injured on Duty</t>
  </si>
  <si>
    <t xml:space="preserve">Contractual &amp; Other Expenses </t>
  </si>
  <si>
    <t>542500 Police Training Classes</t>
  </si>
  <si>
    <t>Police Field Services - Civilian</t>
  </si>
  <si>
    <t>Police General Services - Sworn</t>
  </si>
  <si>
    <t>Police General Services - Civilian</t>
  </si>
  <si>
    <t xml:space="preserve">Fire Main - Sworn </t>
  </si>
  <si>
    <t>511600 Medical Certification</t>
  </si>
  <si>
    <t>542100 EMS Training Expenditures</t>
  </si>
  <si>
    <t>Fire Main - Civilian</t>
  </si>
  <si>
    <t>Fire Air Craft Rescue</t>
  </si>
  <si>
    <t>Department of Parks, Recreation &amp; Youth Programs</t>
  </si>
  <si>
    <t>Parks Administration</t>
  </si>
  <si>
    <t>Parks Grounds Maintenance</t>
  </si>
  <si>
    <t>542000 Clinton Square Maintenance</t>
  </si>
  <si>
    <t>Parks Recreation</t>
  </si>
  <si>
    <t>Dog Control Division</t>
  </si>
  <si>
    <t>Special Objects of Expense</t>
  </si>
  <si>
    <t>596220 Blighted Property Maintenance</t>
  </si>
  <si>
    <t>593620 Printing &amp; Advertising</t>
  </si>
  <si>
    <t>593260 Fiscal Services</t>
  </si>
  <si>
    <t>596700 Postage</t>
  </si>
  <si>
    <t>594310 Labor Relations Expense</t>
  </si>
  <si>
    <t>599100 Unallocated Insurance</t>
  </si>
  <si>
    <t>599200 Conf &amp; Assoc Dues</t>
  </si>
  <si>
    <t>599309 Trauma Response</t>
  </si>
  <si>
    <t>599310 Tax Certiorari</t>
  </si>
  <si>
    <t>599320 Prior Years' Special Assessment Refund</t>
  </si>
  <si>
    <t>599500 City Share of Local Assessment</t>
  </si>
  <si>
    <t>599600 City Share of Tax Deeds</t>
  </si>
  <si>
    <t>599890 External Auditors</t>
  </si>
  <si>
    <t>599891 Financial Management System</t>
  </si>
  <si>
    <t>599892 Special Audit Services</t>
  </si>
  <si>
    <t>599893 GASB45 Actuarial Valuation</t>
  </si>
  <si>
    <t>599897 JSCB Expenses</t>
  </si>
  <si>
    <t>599898 GSPDC (Land Bank)</t>
  </si>
  <si>
    <t>594500 Onondaga Historical Association</t>
  </si>
  <si>
    <t>595500 Public Events</t>
  </si>
  <si>
    <t>595850 Erie Canal Museum</t>
  </si>
  <si>
    <t>595860 Internet and Networking Services</t>
  </si>
  <si>
    <t>595905 Arts Acquisition Conservation Fund</t>
  </si>
  <si>
    <t>595910 University Neighborhood Grants</t>
  </si>
  <si>
    <t>595911 Downtown District Matching</t>
  </si>
  <si>
    <t>595912 Crouse Marshall Matching</t>
  </si>
  <si>
    <t>595940 Leadership Syracuse</t>
  </si>
  <si>
    <t>593001 Summer Youth Employment Program</t>
  </si>
  <si>
    <t>593002 Community Ambassador Program</t>
  </si>
  <si>
    <t>593003 Financial Empowerment Center</t>
  </si>
  <si>
    <t>593004 ARPA Project Completion</t>
  </si>
  <si>
    <t>593005 CNY Works</t>
  </si>
  <si>
    <t>593006 Focus Greater Syracuse</t>
  </si>
  <si>
    <t>593007 Housing Trust</t>
  </si>
  <si>
    <t>593008 Vacant Property Receivership</t>
  </si>
  <si>
    <t>593009 Union Apprentice Program</t>
  </si>
  <si>
    <t>593010 Landbank Seizures</t>
  </si>
  <si>
    <t>595942 Literacy Coalition</t>
  </si>
  <si>
    <t>595946 Home HeadQuarters</t>
  </si>
  <si>
    <t>595950 Mandated Drug Testing</t>
  </si>
  <si>
    <t>599930 Veteran's Post Rents</t>
  </si>
  <si>
    <t>593000 One Time Expenditures</t>
  </si>
  <si>
    <t>590810 Operating Leases</t>
  </si>
  <si>
    <t>540553 Traffic Camera Fees</t>
  </si>
  <si>
    <t>590050 Allowance_for_Negotiations</t>
  </si>
  <si>
    <t>590100 Employee Retirement System</t>
  </si>
  <si>
    <t>590300 Social_Security</t>
  </si>
  <si>
    <t>590400 Workers_Compensation</t>
  </si>
  <si>
    <t>590150 Police &amp; Fire Retirement System</t>
  </si>
  <si>
    <t>590410 Personal_ Injury_ Protection</t>
  </si>
  <si>
    <t>590500 Unemployment_Insurance</t>
  </si>
  <si>
    <t>590600 Medical_Insurance</t>
  </si>
  <si>
    <t>590858 Supplemental_Benefits</t>
  </si>
  <si>
    <t>599300 Judgement_&amp;_Claims</t>
  </si>
  <si>
    <t>597707 RAN_Interest</t>
  </si>
  <si>
    <t>590701 Employee_Assistance_Program</t>
  </si>
  <si>
    <t>590420 Police_207C_Expenses</t>
  </si>
  <si>
    <t>590421 Police_207C_Expenses</t>
  </si>
  <si>
    <t>590430 Fire_207A_Expenses</t>
  </si>
  <si>
    <t>590431 Fire_207A_Expenses</t>
  </si>
  <si>
    <t>599020 Transfer - City School District</t>
  </si>
  <si>
    <t>Capital Appropriations &amp; Debt Service</t>
  </si>
  <si>
    <t>Transfer to Capital Projects Fund</t>
  </si>
  <si>
    <t>Cash Capital Appropriations</t>
  </si>
  <si>
    <t>BAN Interest</t>
  </si>
  <si>
    <t>Transfer to Debt Service Fund</t>
  </si>
  <si>
    <t>Serial Bond Principal &amp; Interest</t>
  </si>
  <si>
    <t>One Percent (1%) Added Pursuant to Law</t>
  </si>
  <si>
    <t>WATER FUND</t>
  </si>
  <si>
    <t>421400 Sale of Water</t>
  </si>
  <si>
    <t>421420 Water Frontage Tax</t>
  </si>
  <si>
    <t>421440 Fire Service Installation</t>
  </si>
  <si>
    <t>421450 Lead Pipe Removal</t>
  </si>
  <si>
    <t>421460 Water Turn-on/Turn-off</t>
  </si>
  <si>
    <t>421480 Interest and Penalties</t>
  </si>
  <si>
    <t>421490 Pending Penalties</t>
  </si>
  <si>
    <t>421500 Meter Repairs</t>
  </si>
  <si>
    <t>421510 Infrastructure Improvement Fee</t>
  </si>
  <si>
    <t>421520 Appointment Cancellation Fee</t>
  </si>
  <si>
    <t>421530 Design Plan Fee</t>
  </si>
  <si>
    <t>421540 Hydrant Metered Usage</t>
  </si>
  <si>
    <t>424010 Interest on Deposits</t>
  </si>
  <si>
    <t>425600 Fees/Paving Cuts</t>
  </si>
  <si>
    <t>425900 Water Meter Installation</t>
  </si>
  <si>
    <t>425950 Serivce Kill Fees</t>
  </si>
  <si>
    <t>426000 Fire Service Maintenance Fee</t>
  </si>
  <si>
    <t>426500 Sale of Scrap Equiment</t>
  </si>
  <si>
    <t>427100 Premium on Bonds/RANs</t>
  </si>
  <si>
    <t>Departmental Operating Expenses</t>
  </si>
  <si>
    <t>Water Finance</t>
  </si>
  <si>
    <t>Water Engineering</t>
  </si>
  <si>
    <t>Water Quality Management</t>
  </si>
  <si>
    <t>Skaneateles Watershed Program</t>
  </si>
  <si>
    <t>Water Plant</t>
  </si>
  <si>
    <t>Bad Debt Expense</t>
  </si>
  <si>
    <t>599850 Onon Cty Water District</t>
  </si>
  <si>
    <t>Post Employment Benefits</t>
  </si>
  <si>
    <t>Transfer - General Fund</t>
  </si>
  <si>
    <t>Cash Capital Appropriations &amp; Debt Service</t>
  </si>
  <si>
    <t>Transfer - Cash Capital</t>
  </si>
  <si>
    <t>MUNICIPAL SIDEWALK FUND</t>
  </si>
  <si>
    <t>2019-2020
FY20 Actual*</t>
  </si>
  <si>
    <t>2020-2021
FY21 Actual*</t>
  </si>
  <si>
    <t>2021-2022
FY22 Actual*</t>
  </si>
  <si>
    <t>450310 Transfer from - General Fund</t>
  </si>
  <si>
    <t>499012 Municipal Sidewalk Fee</t>
  </si>
  <si>
    <t>*The Municipal Sidewalk Fund was not created yet.</t>
  </si>
  <si>
    <t>SEWER FUND</t>
  </si>
  <si>
    <t>421200 Sewer Rents</t>
  </si>
  <si>
    <t>CROUSE MARSHALL
SPECIAL ASSESSMENT DISTRICT</t>
  </si>
  <si>
    <t>Interest</t>
  </si>
  <si>
    <t>Draw Down from Reserves</t>
  </si>
  <si>
    <t>Donated Services</t>
  </si>
  <si>
    <t>Miscellaneous</t>
  </si>
  <si>
    <t>Advertising Revenue</t>
  </si>
  <si>
    <t>City Reimbursement (50/50)</t>
  </si>
  <si>
    <t>Administration</t>
  </si>
  <si>
    <t>Administration Personnel</t>
  </si>
  <si>
    <t>Audit</t>
  </si>
  <si>
    <t>Office Expense</t>
  </si>
  <si>
    <t>Other Expenses</t>
  </si>
  <si>
    <t>Insurance</t>
  </si>
  <si>
    <t>Economic Development</t>
  </si>
  <si>
    <t>Marketing</t>
  </si>
  <si>
    <t>Environmental Maintenance</t>
  </si>
  <si>
    <t>Depreciation -Tractor &amp; Sweeper</t>
  </si>
  <si>
    <t>Horticulture</t>
  </si>
  <si>
    <t>Operations &amp; Maintenance</t>
  </si>
  <si>
    <t>Special Projects</t>
  </si>
  <si>
    <t>Trash Dumpster (Donated)</t>
  </si>
  <si>
    <t>Personnel</t>
  </si>
  <si>
    <t>FT Maintenance</t>
  </si>
  <si>
    <t>PT Maintenance</t>
  </si>
  <si>
    <t>Benefits</t>
  </si>
  <si>
    <t>Miscellaneous Expense</t>
  </si>
  <si>
    <t>Security</t>
  </si>
  <si>
    <t>Security Personnel</t>
  </si>
  <si>
    <t>Security Benefits</t>
  </si>
  <si>
    <t>Security Insurance</t>
  </si>
  <si>
    <t>Security Operations</t>
  </si>
  <si>
    <t>Special Assessment Levy</t>
  </si>
  <si>
    <t>Special Assessment</t>
  </si>
  <si>
    <t>DOWNTOWN
SPECIAL ASSESSMENT FUND</t>
  </si>
  <si>
    <t>Farmers Market</t>
  </si>
  <si>
    <t>Arts &amp; Crafts</t>
  </si>
  <si>
    <t>Transportation</t>
  </si>
  <si>
    <t>Various Grants</t>
  </si>
  <si>
    <t>Salaries and Fringe</t>
  </si>
  <si>
    <t>Operations and Administration</t>
  </si>
  <si>
    <t>Office Supplies</t>
  </si>
  <si>
    <t>Transportation and Travel</t>
  </si>
  <si>
    <t>Office Rent</t>
  </si>
  <si>
    <t>Machine Contract</t>
  </si>
  <si>
    <t>Promotions</t>
  </si>
  <si>
    <t>Printing</t>
  </si>
  <si>
    <t>Events</t>
  </si>
  <si>
    <t>Advertising</t>
  </si>
  <si>
    <t>Postage</t>
  </si>
  <si>
    <t>Contingency</t>
  </si>
  <si>
    <t>Program Operations</t>
  </si>
  <si>
    <t>Website</t>
  </si>
  <si>
    <t>Operations and Maintenance</t>
  </si>
  <si>
    <t>Program Delivery</t>
  </si>
  <si>
    <t>Depreciation</t>
  </si>
  <si>
    <t>Horticulture-Watering Contract</t>
  </si>
  <si>
    <t>Alarm</t>
  </si>
  <si>
    <t>Recruitment</t>
  </si>
  <si>
    <t>Rent</t>
  </si>
  <si>
    <t>Sales Tax</t>
  </si>
  <si>
    <t>Operations</t>
  </si>
  <si>
    <t>Other</t>
  </si>
  <si>
    <t>Operations/Education</t>
  </si>
  <si>
    <t>Telephone</t>
  </si>
  <si>
    <t>`</t>
  </si>
  <si>
    <t>Arts and Crafts</t>
  </si>
  <si>
    <t>Reserve</t>
  </si>
  <si>
    <t>Fees &amp; Penalties</t>
  </si>
  <si>
    <t>Allowance for Uncollected Assessment</t>
  </si>
  <si>
    <t>DEBT SERVICE</t>
  </si>
  <si>
    <t>Debt Service Principal &amp; Interest Appropriations</t>
  </si>
  <si>
    <t>General Fund</t>
  </si>
  <si>
    <t>Municipal Sidewalk Fund</t>
  </si>
  <si>
    <t>Water Fund</t>
  </si>
  <si>
    <t>Sewer Fund</t>
  </si>
  <si>
    <t>DEBT SERVICE BY FUND</t>
  </si>
  <si>
    <t>Maturity Date</t>
  </si>
  <si>
    <t>Interest Rate</t>
  </si>
  <si>
    <t>Original
Balance</t>
  </si>
  <si>
    <t>FY26
Prinicipal</t>
  </si>
  <si>
    <t>FY26
Interest</t>
  </si>
  <si>
    <t>FY26
Debt Service</t>
  </si>
  <si>
    <t>FY26 Year-End
Balance</t>
  </si>
  <si>
    <t>All Municipal Bonding</t>
  </si>
  <si>
    <t>General Fund Bonding</t>
  </si>
  <si>
    <t>500 Public Improvement Bonds, 2014 B</t>
  </si>
  <si>
    <t>505 Public Improvement Refunding Bonds, 2015 A</t>
  </si>
  <si>
    <t>515 Public Improvement Bonds, 2015 A</t>
  </si>
  <si>
    <t>525 Public Improvement Bonds, 2016 A</t>
  </si>
  <si>
    <t>530 Public Improvement Bonds, 2017 A</t>
  </si>
  <si>
    <t>560 Public Improvement Bonds, 2018 A</t>
  </si>
  <si>
    <t>570 Public Improvement Bonds, 2019 A</t>
  </si>
  <si>
    <t>575 Public Improvement Bonds, 2020 A</t>
  </si>
  <si>
    <t>580 Public Improvement Bonds, 2020 B</t>
  </si>
  <si>
    <t>585 Public Improvement Bonds, 2021 A</t>
  </si>
  <si>
    <t>590 Public Improvement Bonds, 2021 B</t>
  </si>
  <si>
    <t>595 Public Improvement Bonds, 2022 A</t>
  </si>
  <si>
    <t>600 Public Improvement Bonds, 2023</t>
  </si>
  <si>
    <t>Municipal Sidewalk Fund Bonding</t>
  </si>
  <si>
    <t>Water Fund Bonding</t>
  </si>
  <si>
    <t>445 N.Y.S. E.F.C. Bonds, 2010 C</t>
  </si>
  <si>
    <t>525 Public Improvement Bonds. 2016 A</t>
  </si>
  <si>
    <t>570 Public Improvement Bonds. 2019 A</t>
  </si>
  <si>
    <t>575 Public Improvement Bonds. 2020 A</t>
  </si>
  <si>
    <t>580 Public Improvement Refunding Bonds. 2020 B</t>
  </si>
  <si>
    <t>585 Public Improvement Bonds. 2021 A</t>
  </si>
  <si>
    <t>590 Public Improvement Refunding Bonds. 2021 B</t>
  </si>
  <si>
    <t>595 Public Improvement Bonds. 2022 A</t>
  </si>
  <si>
    <t>600 Public Improvement Bonds. 2023</t>
  </si>
  <si>
    <t>Sewer Fund Bonding</t>
  </si>
  <si>
    <t>*We exclude the Aviation Fund which ended this year.</t>
  </si>
  <si>
    <t>2024-2025
FY25 Actual</t>
  </si>
  <si>
    <t>City Tax Levy</t>
  </si>
  <si>
    <t>City Tax Rate (per $1,000 assessed value)</t>
  </si>
  <si>
    <r>
      <t xml:space="preserve">Oiling (per feet of frontage) </t>
    </r>
    <r>
      <rPr>
        <b/>
        <sz val="10"/>
        <color theme="1"/>
        <rFont val="Arial"/>
        <family val="2"/>
      </rPr>
      <t>*</t>
    </r>
  </si>
  <si>
    <r>
      <t xml:space="preserve">Sweeping (per feet of frontage) </t>
    </r>
    <r>
      <rPr>
        <b/>
        <sz val="10"/>
        <color theme="1"/>
        <rFont val="Arial"/>
        <family val="2"/>
      </rPr>
      <t>^</t>
    </r>
  </si>
  <si>
    <r>
      <t xml:space="preserve">Water </t>
    </r>
    <r>
      <rPr>
        <b/>
        <sz val="10"/>
        <color theme="1"/>
        <rFont val="Arial"/>
        <family val="2"/>
      </rPr>
      <t>**</t>
    </r>
  </si>
  <si>
    <t>Infrastructure Improvement Fee</t>
  </si>
  <si>
    <t>N/A</t>
  </si>
  <si>
    <r>
      <t xml:space="preserve">Sewer (per 100 cubic feet of consumption) </t>
    </r>
    <r>
      <rPr>
        <b/>
        <sz val="10"/>
        <color theme="1"/>
        <rFont val="Arial"/>
        <family val="2"/>
      </rPr>
      <t>^^</t>
    </r>
  </si>
  <si>
    <t>Sidewalk - Residential Property</t>
  </si>
  <si>
    <t>Sidewalk - Commercial Property</t>
  </si>
  <si>
    <r>
      <rPr>
        <b/>
        <sz val="10"/>
        <color theme="1"/>
        <rFont val="Arial"/>
        <family val="2"/>
      </rPr>
      <t xml:space="preserve">* </t>
    </r>
    <r>
      <rPr>
        <sz val="10"/>
        <color theme="1"/>
        <rFont val="Arial"/>
        <family val="2"/>
      </rPr>
      <t>Oiling refer to the City's "Slurry Seal" program.
Only unimproved roads (streets without curbing) receive this treatment and pay this charge.
Property owners on these roads are charged every four years.
Corner properties on which one street is improved and one is unimproved pay both charges.</t>
    </r>
  </si>
  <si>
    <r>
      <rPr>
        <b/>
        <sz val="10"/>
        <color theme="1"/>
        <rFont val="Arial"/>
        <family val="2"/>
      </rPr>
      <t xml:space="preserve">^ </t>
    </r>
    <r>
      <rPr>
        <sz val="10"/>
        <color theme="1"/>
        <rFont val="Arial"/>
        <family val="2"/>
      </rPr>
      <t>Sweeping refers to the City's "Sweeping and Flushing" program.
Only improved roads (streets with curbing) receive this treatment and pay this charge.
Property owners on these roads are charged annually.
Corner properties on which one street is improved and one is unimproved pay both charges.</t>
    </r>
  </si>
  <si>
    <r>
      <rPr>
        <b/>
        <sz val="10"/>
        <color theme="1"/>
        <rFont val="Arial"/>
        <family val="2"/>
      </rPr>
      <t>**</t>
    </r>
    <r>
      <rPr>
        <sz val="10"/>
        <color theme="1"/>
        <rFont val="Arial"/>
        <family val="2"/>
      </rPr>
      <t xml:space="preserve"> These rates reflect the charge for up to 1,300 cubic feet of water to City residents. 
Most residential consumers pay this rate. 
Larger institutions and high-water use customers use a different rate schedule.
The City also sells water to various municipalities; rates vary by municipality</t>
    </r>
  </si>
  <si>
    <t>https://www.syr.gov/Departments/Budget/City-Budget</t>
  </si>
  <si>
    <t>This document is created by the Office of the City Auditor
as a resource for the public and policy makers.</t>
  </si>
  <si>
    <t>Any errors, omissions, and corrections
should be directed to the Office of the City Auditor</t>
  </si>
  <si>
    <t>Please contact us by:
Phone at: (315) 448-8477, or
Email at: audit@syr.gov</t>
  </si>
  <si>
    <t>As updates are made, our office will release new versions of this document.</t>
  </si>
  <si>
    <t>Some figures may appear inconsistent with numbers provided in the budget book
due to rounding and other mathmatical errors.</t>
  </si>
  <si>
    <t>590300 Social Security</t>
  </si>
  <si>
    <t>590400 Workers Compensation</t>
  </si>
  <si>
    <t>590600 Medical Insurance</t>
  </si>
  <si>
    <t>599300 Judgement &amp; Claims</t>
  </si>
  <si>
    <r>
      <rPr>
        <b/>
        <sz val="10"/>
        <color theme="1"/>
        <rFont val="Arial"/>
        <family val="2"/>
      </rPr>
      <t>^^</t>
    </r>
    <r>
      <rPr>
        <sz val="10"/>
        <color theme="1"/>
        <rFont val="Arial"/>
        <family val="2"/>
      </rPr>
      <t xml:space="preserve"> These rates reflect the charge for most City residents. 
Larger institutions and high-water use customers use a different rate schedule.</t>
    </r>
  </si>
  <si>
    <t>13.6976</t>
  </si>
  <si>
    <t>Version 1
City of Syracuse Budget Workbook
FY 2020-2024 Actuals
FY 2025 Adopted &amp; Estimate
FY 2026 Proposed</t>
  </si>
  <si>
    <t>The information in this document is derived from past City budget documents, available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</si>
</sst>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quot;$&quot;#,##0.00"/>
    <numFmt numFmtId="167" formatCode="0.0000"/>
  </numFmts>
  <fonts count="20" x14ac:knownFonts="1">
    <font>
      <sz val="10"/>
      <color rgb="FF000000"/>
      <name val="Times New Roman"/>
      <family val="1"/>
    </font>
    <font>
      <sz val="11"/>
      <color theme="1"/>
      <name val="Century Gothic"/>
      <family val="2"/>
      <scheme val="minor"/>
    </font>
    <font>
      <sz val="11"/>
      <color theme="1"/>
      <name val="Century Gothic"/>
      <family val="2"/>
      <scheme val="minor"/>
    </font>
    <font>
      <sz val="11"/>
      <color theme="1"/>
      <name val="Century Gothic"/>
      <family val="2"/>
      <scheme val="minor"/>
    </font>
    <font>
      <sz val="9"/>
      <name val="Arial"/>
      <family val="2"/>
    </font>
    <font>
      <sz val="10"/>
      <color rgb="FF000000"/>
      <name val="Arial"/>
      <family val="2"/>
    </font>
    <font>
      <sz val="10"/>
      <name val="Arial"/>
      <family val="2"/>
    </font>
    <font>
      <b/>
      <sz val="9"/>
      <name val="Arial"/>
      <family val="2"/>
    </font>
    <font>
      <b/>
      <sz val="10"/>
      <name val="Arial"/>
      <family val="2"/>
    </font>
    <font>
      <b/>
      <sz val="10"/>
      <color rgb="FF000000"/>
      <name val="Arial"/>
      <family val="2"/>
    </font>
    <font>
      <b/>
      <i/>
      <sz val="10"/>
      <color rgb="FF000000"/>
      <name val="Arial"/>
      <family val="2"/>
    </font>
    <font>
      <b/>
      <i/>
      <sz val="10"/>
      <name val="Arial"/>
      <family val="2"/>
    </font>
    <font>
      <i/>
      <sz val="10"/>
      <color rgb="FF000000"/>
      <name val="Arial"/>
      <family val="2"/>
    </font>
    <font>
      <i/>
      <sz val="10"/>
      <name val="Arial"/>
      <family val="2"/>
    </font>
    <font>
      <sz val="10"/>
      <color rgb="FF000000"/>
      <name val="Times New Roman"/>
      <family val="1"/>
    </font>
    <font>
      <i/>
      <sz val="10"/>
      <color rgb="FFFF0000"/>
      <name val="Arial"/>
      <family val="2"/>
    </font>
    <font>
      <b/>
      <u/>
      <sz val="10"/>
      <name val="Arial"/>
      <family val="2"/>
    </font>
    <font>
      <i/>
      <sz val="10"/>
      <color rgb="FF000000"/>
      <name val="Times New Roman"/>
      <family val="1"/>
    </font>
    <font>
      <sz val="10"/>
      <color theme="1"/>
      <name val="Arial"/>
      <family val="2"/>
    </font>
    <font>
      <b/>
      <sz val="10"/>
      <color theme="1"/>
      <name val="Arial"/>
      <family val="2"/>
    </font>
  </fonts>
  <fills count="8">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8">
    <xf numFmtId="0" fontId="0" fillId="0" borderId="0"/>
    <xf numFmtId="44" fontId="14" fillId="0" borderId="0" applyFont="0" applyFill="0" applyBorder="0" applyAlignment="0" applyProtection="0"/>
    <xf numFmtId="0" fontId="14" fillId="0" borderId="0"/>
    <xf numFmtId="43" fontId="14"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cellStyleXfs>
  <cellXfs count="336">
    <xf numFmtId="0" fontId="0" fillId="0" borderId="0" xfId="0"/>
    <xf numFmtId="0" fontId="0" fillId="0" borderId="0" xfId="0" applyAlignment="1">
      <alignment horizontal="left" vertical="top"/>
    </xf>
    <xf numFmtId="0" fontId="4" fillId="0" borderId="0" xfId="0" applyFont="1" applyAlignment="1">
      <alignment vertical="top" wrapText="1"/>
    </xf>
    <xf numFmtId="0" fontId="7" fillId="0" borderId="0" xfId="0" applyFont="1" applyAlignment="1">
      <alignment vertical="top" wrapText="1"/>
    </xf>
    <xf numFmtId="0" fontId="7" fillId="0" borderId="0" xfId="0" applyFont="1" applyAlignment="1">
      <alignment wrapText="1"/>
    </xf>
    <xf numFmtId="0" fontId="0" fillId="0" borderId="0" xfId="0" applyAlignment="1">
      <alignment horizontal="center" vertical="center"/>
    </xf>
    <xf numFmtId="0" fontId="5" fillId="0" borderId="0" xfId="0" applyFont="1" applyAlignment="1">
      <alignment horizontal="left" vertical="center"/>
    </xf>
    <xf numFmtId="38" fontId="8" fillId="2" borderId="2" xfId="0" applyNumberFormat="1" applyFont="1" applyFill="1" applyBorder="1" applyAlignment="1">
      <alignment horizontal="center" vertical="center" wrapText="1"/>
    </xf>
    <xf numFmtId="38" fontId="5" fillId="3" borderId="2" xfId="0" applyNumberFormat="1" applyFont="1" applyFill="1" applyBorder="1" applyAlignment="1">
      <alignment horizontal="center" vertical="center" wrapText="1"/>
    </xf>
    <xf numFmtId="38" fontId="6" fillId="3" borderId="2" xfId="0" applyNumberFormat="1" applyFont="1" applyFill="1" applyBorder="1" applyAlignment="1">
      <alignment horizontal="center" vertical="center" wrapText="1"/>
    </xf>
    <xf numFmtId="38" fontId="8" fillId="4" borderId="2" xfId="0" applyNumberFormat="1" applyFont="1" applyFill="1" applyBorder="1" applyAlignment="1">
      <alignment horizontal="center" vertical="center" wrapText="1"/>
    </xf>
    <xf numFmtId="38" fontId="8" fillId="5" borderId="1" xfId="0" applyNumberFormat="1" applyFont="1" applyFill="1" applyBorder="1" applyAlignment="1">
      <alignment horizontal="center" vertical="center" wrapText="1"/>
    </xf>
    <xf numFmtId="38" fontId="8" fillId="5" borderId="2" xfId="0" applyNumberFormat="1" applyFont="1" applyFill="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wrapText="1"/>
    </xf>
    <xf numFmtId="0" fontId="6" fillId="0" borderId="0" xfId="0" applyFont="1" applyAlignment="1">
      <alignment vertical="top" wrapText="1"/>
    </xf>
    <xf numFmtId="38" fontId="12" fillId="5" borderId="2" xfId="0" applyNumberFormat="1" applyFont="1" applyFill="1" applyBorder="1" applyAlignment="1">
      <alignment horizontal="center" shrinkToFit="1"/>
    </xf>
    <xf numFmtId="38" fontId="13" fillId="5" borderId="2" xfId="0" applyNumberFormat="1" applyFont="1" applyFill="1" applyBorder="1" applyAlignment="1">
      <alignment horizontal="center" wrapText="1"/>
    </xf>
    <xf numFmtId="0" fontId="13" fillId="5" borderId="2" xfId="0" applyFont="1" applyFill="1" applyBorder="1" applyAlignment="1">
      <alignment horizontal="left" vertical="top" wrapText="1"/>
    </xf>
    <xf numFmtId="0" fontId="12" fillId="5" borderId="2" xfId="0" applyFont="1" applyFill="1" applyBorder="1" applyAlignment="1">
      <alignment horizontal="left" vertical="top"/>
    </xf>
    <xf numFmtId="0" fontId="8" fillId="0" borderId="0" xfId="0" applyFont="1" applyAlignment="1">
      <alignment vertical="top" wrapText="1"/>
    </xf>
    <xf numFmtId="0" fontId="5" fillId="0" borderId="0" xfId="0" applyFont="1" applyAlignment="1">
      <alignment vertical="center" wrapText="1"/>
    </xf>
    <xf numFmtId="0" fontId="8" fillId="0" borderId="0" xfId="0" applyFont="1" applyAlignment="1">
      <alignment vertical="center" wrapText="1"/>
    </xf>
    <xf numFmtId="38" fontId="8" fillId="4" borderId="2" xfId="0" applyNumberFormat="1" applyFont="1" applyFill="1" applyBorder="1" applyAlignment="1">
      <alignment horizontal="center" wrapText="1"/>
    </xf>
    <xf numFmtId="0" fontId="5" fillId="0" borderId="0" xfId="0" applyFont="1" applyAlignment="1">
      <alignment vertical="top" wrapText="1"/>
    </xf>
    <xf numFmtId="1" fontId="5" fillId="0" borderId="0" xfId="0" applyNumberFormat="1" applyFont="1" applyAlignment="1">
      <alignment shrinkToFit="1"/>
    </xf>
    <xf numFmtId="0" fontId="5" fillId="0" borderId="0" xfId="0" applyFont="1" applyAlignment="1">
      <alignment horizontal="left" vertical="top" wrapText="1"/>
    </xf>
    <xf numFmtId="38" fontId="8" fillId="2" borderId="2" xfId="0" applyNumberFormat="1" applyFont="1" applyFill="1" applyBorder="1" applyAlignment="1">
      <alignment horizontal="center" wrapText="1"/>
    </xf>
    <xf numFmtId="0" fontId="8" fillId="0" borderId="2" xfId="0" applyFont="1" applyBorder="1" applyAlignment="1">
      <alignment horizontal="center" wrapText="1"/>
    </xf>
    <xf numFmtId="0" fontId="12" fillId="0" borderId="0" xfId="0" applyFont="1" applyAlignment="1">
      <alignment horizontal="left" vertical="top"/>
    </xf>
    <xf numFmtId="38" fontId="8" fillId="5" borderId="1" xfId="0" applyNumberFormat="1" applyFont="1" applyFill="1" applyBorder="1" applyAlignment="1">
      <alignment horizontal="center" wrapText="1"/>
    </xf>
    <xf numFmtId="38" fontId="8" fillId="5" borderId="2" xfId="0" applyNumberFormat="1" applyFont="1" applyFill="1" applyBorder="1" applyAlignment="1">
      <alignment horizontal="center" wrapText="1"/>
    </xf>
    <xf numFmtId="0" fontId="5"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12" fillId="5" borderId="2" xfId="0" applyFont="1" applyFill="1" applyBorder="1" applyAlignment="1">
      <alignment vertical="center"/>
    </xf>
    <xf numFmtId="0" fontId="13" fillId="5" borderId="2" xfId="0" applyFont="1" applyFill="1" applyBorder="1" applyAlignment="1">
      <alignment vertical="center" wrapText="1"/>
    </xf>
    <xf numFmtId="0" fontId="12" fillId="5" borderId="2" xfId="0" applyFont="1" applyFill="1" applyBorder="1" applyAlignment="1">
      <alignment vertical="center" wrapText="1"/>
    </xf>
    <xf numFmtId="0" fontId="10" fillId="5" borderId="2" xfId="0" applyFont="1" applyFill="1" applyBorder="1" applyAlignment="1">
      <alignment vertical="center"/>
    </xf>
    <xf numFmtId="38" fontId="9" fillId="5" borderId="2" xfId="0" applyNumberFormat="1" applyFont="1" applyFill="1" applyBorder="1" applyAlignment="1">
      <alignment horizontal="center" vertical="center" wrapText="1"/>
    </xf>
    <xf numFmtId="38" fontId="11" fillId="5" borderId="2" xfId="0" applyNumberFormat="1" applyFont="1" applyFill="1" applyBorder="1" applyAlignment="1">
      <alignment horizontal="center" vertical="center" wrapText="1"/>
    </xf>
    <xf numFmtId="38" fontId="12" fillId="5" borderId="2" xfId="0" applyNumberFormat="1" applyFont="1" applyFill="1" applyBorder="1" applyAlignment="1">
      <alignment horizontal="center" vertical="center" shrinkToFit="1"/>
    </xf>
    <xf numFmtId="38" fontId="10" fillId="5" borderId="2" xfId="0" applyNumberFormat="1" applyFont="1" applyFill="1" applyBorder="1" applyAlignment="1">
      <alignment horizontal="center" vertical="center"/>
    </xf>
    <xf numFmtId="38" fontId="9" fillId="5" borderId="2" xfId="0" applyNumberFormat="1" applyFont="1" applyFill="1" applyBorder="1" applyAlignment="1">
      <alignment horizontal="center" vertical="center" shrinkToFit="1"/>
    </xf>
    <xf numFmtId="38" fontId="10" fillId="5" borderId="2" xfId="0" applyNumberFormat="1" applyFont="1" applyFill="1" applyBorder="1" applyAlignment="1">
      <alignment horizontal="center" vertical="center" wrapText="1"/>
    </xf>
    <xf numFmtId="0" fontId="8" fillId="0" borderId="0" xfId="0" applyFont="1" applyAlignment="1">
      <alignment horizontal="left" vertical="center" wrapText="1"/>
    </xf>
    <xf numFmtId="0" fontId="12" fillId="5" borderId="2" xfId="0" applyFont="1" applyFill="1" applyBorder="1" applyAlignment="1">
      <alignment horizontal="left" vertical="center"/>
    </xf>
    <xf numFmtId="0" fontId="13" fillId="5" borderId="2" xfId="0" applyFont="1" applyFill="1" applyBorder="1" applyAlignment="1">
      <alignment horizontal="left" vertical="center" wrapText="1"/>
    </xf>
    <xf numFmtId="0" fontId="13" fillId="5" borderId="2" xfId="0" applyFont="1" applyFill="1" applyBorder="1" applyAlignment="1">
      <alignment horizontal="center" vertical="center" wrapText="1"/>
    </xf>
    <xf numFmtId="38" fontId="13" fillId="5" borderId="2" xfId="0" applyNumberFormat="1" applyFont="1" applyFill="1" applyBorder="1" applyAlignment="1">
      <alignment horizontal="center" vertical="center" wrapText="1"/>
    </xf>
    <xf numFmtId="38" fontId="8" fillId="3" borderId="2" xfId="0" applyNumberFormat="1" applyFont="1" applyFill="1" applyBorder="1" applyAlignment="1">
      <alignment horizontal="center" vertical="center" wrapText="1"/>
    </xf>
    <xf numFmtId="38" fontId="8" fillId="3" borderId="2" xfId="0" applyNumberFormat="1" applyFont="1" applyFill="1" applyBorder="1" applyAlignment="1">
      <alignment horizontal="center" wrapText="1"/>
    </xf>
    <xf numFmtId="38" fontId="9" fillId="3" borderId="2" xfId="0" applyNumberFormat="1" applyFont="1" applyFill="1" applyBorder="1" applyAlignment="1">
      <alignment horizontal="center" shrinkToFit="1"/>
    </xf>
    <xf numFmtId="0" fontId="9"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38" fontId="5" fillId="3" borderId="1" xfId="0" applyNumberFormat="1" applyFont="1" applyFill="1" applyBorder="1" applyAlignment="1">
      <alignment horizontal="center" wrapText="1"/>
    </xf>
    <xf numFmtId="38" fontId="5" fillId="3" borderId="1" xfId="0" applyNumberFormat="1" applyFont="1" applyFill="1" applyBorder="1" applyAlignment="1">
      <alignment horizontal="center" shrinkToFit="1"/>
    </xf>
    <xf numFmtId="38" fontId="6" fillId="3" borderId="2" xfId="0" applyNumberFormat="1" applyFont="1" applyFill="1" applyBorder="1" applyAlignment="1">
      <alignment horizontal="center" wrapText="1"/>
    </xf>
    <xf numFmtId="38" fontId="5" fillId="3" borderId="2" xfId="0" applyNumberFormat="1" applyFont="1" applyFill="1" applyBorder="1" applyAlignment="1">
      <alignment horizontal="center" shrinkToFit="1"/>
    </xf>
    <xf numFmtId="38" fontId="5" fillId="3" borderId="2" xfId="0" applyNumberFormat="1" applyFont="1" applyFill="1" applyBorder="1" applyAlignment="1">
      <alignment horizontal="center" wrapText="1"/>
    </xf>
    <xf numFmtId="38" fontId="5" fillId="3" borderId="2" xfId="0" applyNumberFormat="1" applyFont="1" applyFill="1" applyBorder="1" applyAlignment="1">
      <alignment horizontal="center"/>
    </xf>
    <xf numFmtId="3" fontId="12" fillId="0" borderId="0" xfId="0" applyNumberFormat="1" applyFont="1" applyAlignment="1">
      <alignment horizontal="center" vertical="top"/>
    </xf>
    <xf numFmtId="38" fontId="5" fillId="5" borderId="2" xfId="1" applyNumberFormat="1" applyFont="1" applyFill="1" applyBorder="1" applyAlignment="1">
      <alignment horizontal="center" vertical="top" shrinkToFit="1"/>
    </xf>
    <xf numFmtId="38" fontId="8" fillId="5" borderId="2" xfId="1" applyNumberFormat="1" applyFont="1" applyFill="1" applyBorder="1" applyAlignment="1">
      <alignment horizontal="center" vertical="center" wrapText="1"/>
    </xf>
    <xf numFmtId="38" fontId="12" fillId="5" borderId="2" xfId="1" applyNumberFormat="1" applyFont="1" applyFill="1" applyBorder="1" applyAlignment="1">
      <alignment horizontal="center" vertical="top" shrinkToFit="1"/>
    </xf>
    <xf numFmtId="38" fontId="10" fillId="5" borderId="2" xfId="1" applyNumberFormat="1" applyFont="1" applyFill="1" applyBorder="1" applyAlignment="1">
      <alignment horizontal="center" vertical="center" shrinkToFit="1"/>
    </xf>
    <xf numFmtId="0" fontId="12" fillId="5" borderId="2" xfId="2" applyFont="1" applyFill="1" applyBorder="1" applyAlignment="1">
      <alignment horizontal="left" vertical="top"/>
    </xf>
    <xf numFmtId="0" fontId="5" fillId="5" borderId="2" xfId="2" applyFont="1" applyFill="1" applyBorder="1" applyAlignment="1">
      <alignment horizontal="left" vertical="top"/>
    </xf>
    <xf numFmtId="38" fontId="11" fillId="5" borderId="2" xfId="1" applyNumberFormat="1" applyFont="1" applyFill="1" applyBorder="1" applyAlignment="1">
      <alignment horizontal="center" vertical="top" wrapText="1"/>
    </xf>
    <xf numFmtId="38" fontId="13" fillId="5" borderId="2" xfId="1" applyNumberFormat="1" applyFont="1" applyFill="1" applyBorder="1" applyAlignment="1">
      <alignment horizontal="center" vertical="top" wrapText="1"/>
    </xf>
    <xf numFmtId="38" fontId="12" fillId="5" borderId="2" xfId="1" applyNumberFormat="1" applyFont="1" applyFill="1" applyBorder="1" applyAlignment="1">
      <alignment horizontal="center" vertical="center" shrinkToFit="1"/>
    </xf>
    <xf numFmtId="38" fontId="10" fillId="5" borderId="2" xfId="1" applyNumberFormat="1" applyFont="1" applyFill="1" applyBorder="1" applyAlignment="1">
      <alignment horizontal="center" vertical="top" shrinkToFit="1"/>
    </xf>
    <xf numFmtId="1" fontId="12" fillId="5" borderId="2" xfId="2" applyNumberFormat="1" applyFont="1" applyFill="1" applyBorder="1" applyAlignment="1">
      <alignment horizontal="left" vertical="center" shrinkToFit="1"/>
    </xf>
    <xf numFmtId="38" fontId="11" fillId="5" borderId="2" xfId="1" applyNumberFormat="1" applyFont="1" applyFill="1" applyBorder="1" applyAlignment="1">
      <alignment horizontal="center" wrapText="1"/>
    </xf>
    <xf numFmtId="38" fontId="10" fillId="5" borderId="2" xfId="1" applyNumberFormat="1" applyFont="1" applyFill="1" applyBorder="1" applyAlignment="1">
      <alignment horizontal="center" wrapText="1"/>
    </xf>
    <xf numFmtId="38" fontId="11" fillId="5" borderId="2" xfId="1" applyNumberFormat="1" applyFont="1" applyFill="1" applyBorder="1" applyAlignment="1">
      <alignment horizontal="center" vertical="center" wrapText="1"/>
    </xf>
    <xf numFmtId="38" fontId="12" fillId="5" borderId="2" xfId="1" applyNumberFormat="1" applyFont="1" applyFill="1" applyBorder="1" applyAlignment="1">
      <alignment horizontal="center" shrinkToFit="1"/>
    </xf>
    <xf numFmtId="38" fontId="10" fillId="5" borderId="2" xfId="1" applyNumberFormat="1" applyFont="1" applyFill="1" applyBorder="1" applyAlignment="1">
      <alignment horizontal="center" vertical="top"/>
    </xf>
    <xf numFmtId="38" fontId="10" fillId="5" borderId="2" xfId="1" applyNumberFormat="1" applyFont="1" applyFill="1" applyBorder="1" applyAlignment="1">
      <alignment horizontal="center" shrinkToFit="1"/>
    </xf>
    <xf numFmtId="38" fontId="10" fillId="5" borderId="2" xfId="1" applyNumberFormat="1" applyFont="1" applyFill="1" applyBorder="1" applyAlignment="1">
      <alignment horizontal="center" vertical="center" wrapText="1"/>
    </xf>
    <xf numFmtId="38" fontId="10" fillId="5" borderId="2" xfId="1" applyNumberFormat="1" applyFont="1" applyFill="1" applyBorder="1" applyAlignment="1">
      <alignment horizontal="center" vertical="top" wrapText="1"/>
    </xf>
    <xf numFmtId="38" fontId="12" fillId="5" borderId="2" xfId="1" applyNumberFormat="1" applyFont="1" applyFill="1" applyBorder="1" applyAlignment="1">
      <alignment horizontal="center" wrapText="1"/>
    </xf>
    <xf numFmtId="0" fontId="12" fillId="5" borderId="2" xfId="2" applyFont="1" applyFill="1" applyBorder="1" applyAlignment="1">
      <alignment horizontal="left" vertical="center" wrapText="1"/>
    </xf>
    <xf numFmtId="38" fontId="11" fillId="5" borderId="2" xfId="2" applyNumberFormat="1" applyFont="1" applyFill="1" applyBorder="1" applyAlignment="1">
      <alignment horizontal="center" wrapText="1"/>
    </xf>
    <xf numFmtId="0" fontId="8" fillId="5" borderId="2" xfId="2" applyFont="1" applyFill="1" applyBorder="1" applyAlignment="1">
      <alignment horizontal="left" wrapText="1"/>
    </xf>
    <xf numFmtId="38" fontId="12" fillId="3" borderId="2" xfId="0" applyNumberFormat="1" applyFont="1" applyFill="1" applyBorder="1" applyAlignment="1">
      <alignment horizontal="center" vertical="top" shrinkToFit="1"/>
    </xf>
    <xf numFmtId="38" fontId="13" fillId="3" borderId="2" xfId="0" applyNumberFormat="1" applyFont="1" applyFill="1" applyBorder="1" applyAlignment="1">
      <alignment horizontal="center" vertical="top" wrapText="1"/>
    </xf>
    <xf numFmtId="0" fontId="5" fillId="3" borderId="2" xfId="0" applyFont="1" applyFill="1" applyBorder="1" applyAlignment="1">
      <alignment horizontal="left" vertical="top"/>
    </xf>
    <xf numFmtId="38" fontId="12" fillId="3" borderId="2" xfId="0" applyNumberFormat="1" applyFont="1" applyFill="1" applyBorder="1" applyAlignment="1">
      <alignment horizontal="center" shrinkToFit="1"/>
    </xf>
    <xf numFmtId="38" fontId="10" fillId="3" borderId="2" xfId="0" applyNumberFormat="1" applyFont="1" applyFill="1" applyBorder="1" applyAlignment="1">
      <alignment horizontal="center" vertical="center" shrinkToFit="1"/>
    </xf>
    <xf numFmtId="0" fontId="6" fillId="0" borderId="0" xfId="0" applyFont="1" applyAlignment="1">
      <alignment vertical="center" wrapText="1"/>
    </xf>
    <xf numFmtId="38" fontId="10" fillId="3" borderId="2" xfId="0" applyNumberFormat="1" applyFont="1" applyFill="1" applyBorder="1" applyAlignment="1">
      <alignment horizontal="center" vertical="center" wrapText="1"/>
    </xf>
    <xf numFmtId="38" fontId="11" fillId="3" borderId="2" xfId="0" applyNumberFormat="1" applyFont="1" applyFill="1" applyBorder="1" applyAlignment="1">
      <alignment horizontal="center" vertical="top" wrapText="1"/>
    </xf>
    <xf numFmtId="38" fontId="13" fillId="3" borderId="2" xfId="0" applyNumberFormat="1" applyFont="1" applyFill="1" applyBorder="1" applyAlignment="1">
      <alignment horizontal="center" vertical="center" wrapText="1"/>
    </xf>
    <xf numFmtId="38" fontId="10" fillId="3" borderId="2" xfId="0" applyNumberFormat="1" applyFont="1" applyFill="1" applyBorder="1" applyAlignment="1">
      <alignment horizontal="center" vertical="top" shrinkToFit="1"/>
    </xf>
    <xf numFmtId="38" fontId="12" fillId="3" borderId="2" xfId="0" applyNumberFormat="1" applyFont="1" applyFill="1" applyBorder="1" applyAlignment="1">
      <alignment horizontal="center" vertical="center" shrinkToFit="1"/>
    </xf>
    <xf numFmtId="38" fontId="10" fillId="3" borderId="2" xfId="0" applyNumberFormat="1" applyFont="1" applyFill="1" applyBorder="1" applyAlignment="1">
      <alignment horizontal="center" vertical="top"/>
    </xf>
    <xf numFmtId="0" fontId="5" fillId="3" borderId="2" xfId="0" applyFont="1" applyFill="1" applyBorder="1" applyAlignment="1">
      <alignment vertical="top"/>
    </xf>
    <xf numFmtId="0" fontId="13" fillId="0" borderId="0" xfId="0" applyFont="1" applyAlignment="1">
      <alignment vertical="top" wrapText="1"/>
    </xf>
    <xf numFmtId="38" fontId="12" fillId="3" borderId="2" xfId="0" applyNumberFormat="1" applyFont="1" applyFill="1" applyBorder="1" applyAlignment="1">
      <alignment horizontal="center" vertical="top" wrapText="1"/>
    </xf>
    <xf numFmtId="38" fontId="10" fillId="3" borderId="2" xfId="0" applyNumberFormat="1" applyFont="1" applyFill="1" applyBorder="1" applyAlignment="1">
      <alignment horizontal="center" wrapText="1"/>
    </xf>
    <xf numFmtId="38" fontId="15" fillId="3" borderId="2" xfId="0" applyNumberFormat="1" applyFont="1" applyFill="1" applyBorder="1" applyAlignment="1">
      <alignment horizontal="center" vertical="top" wrapText="1"/>
    </xf>
    <xf numFmtId="0" fontId="8" fillId="0" borderId="0" xfId="0" applyFont="1" applyAlignment="1">
      <alignment wrapText="1"/>
    </xf>
    <xf numFmtId="38" fontId="12" fillId="5" borderId="2" xfId="0" applyNumberFormat="1" applyFont="1" applyFill="1" applyBorder="1" applyAlignment="1">
      <alignment horizontal="center" vertical="center" wrapText="1"/>
    </xf>
    <xf numFmtId="38" fontId="8" fillId="3" borderId="1" xfId="0" applyNumberFormat="1" applyFont="1" applyFill="1" applyBorder="1" applyAlignment="1">
      <alignment horizontal="center" vertical="center" wrapText="1"/>
    </xf>
    <xf numFmtId="38" fontId="9" fillId="3" borderId="1" xfId="0" applyNumberFormat="1" applyFont="1" applyFill="1" applyBorder="1" applyAlignment="1">
      <alignment horizontal="center" vertical="center" shrinkToFit="1"/>
    </xf>
    <xf numFmtId="38" fontId="9" fillId="3" borderId="1" xfId="0" applyNumberFormat="1" applyFont="1" applyFill="1" applyBorder="1" applyAlignment="1">
      <alignment horizontal="center" vertical="center"/>
    </xf>
    <xf numFmtId="38" fontId="9" fillId="3" borderId="2" xfId="0" applyNumberFormat="1" applyFont="1" applyFill="1" applyBorder="1" applyAlignment="1">
      <alignment horizontal="center" vertical="center" shrinkToFit="1"/>
    </xf>
    <xf numFmtId="38" fontId="9" fillId="3" borderId="2" xfId="0" applyNumberFormat="1" applyFont="1" applyFill="1" applyBorder="1" applyAlignment="1">
      <alignment horizontal="center" vertical="center"/>
    </xf>
    <xf numFmtId="38" fontId="8" fillId="3" borderId="7" xfId="0" applyNumberFormat="1" applyFont="1" applyFill="1" applyBorder="1" applyAlignment="1">
      <alignment horizontal="center" vertical="center" wrapText="1"/>
    </xf>
    <xf numFmtId="38" fontId="9" fillId="3" borderId="7" xfId="0" applyNumberFormat="1" applyFont="1" applyFill="1" applyBorder="1" applyAlignment="1">
      <alignment horizontal="center" vertical="center" shrinkToFit="1"/>
    </xf>
    <xf numFmtId="38" fontId="9" fillId="3" borderId="7" xfId="0" applyNumberFormat="1" applyFont="1" applyFill="1" applyBorder="1" applyAlignment="1">
      <alignment horizontal="center" vertical="center"/>
    </xf>
    <xf numFmtId="0" fontId="9" fillId="0" borderId="0" xfId="0" applyFont="1" applyAlignment="1">
      <alignment horizontal="left" vertical="top"/>
    </xf>
    <xf numFmtId="38" fontId="9" fillId="5" borderId="2" xfId="0" applyNumberFormat="1" applyFont="1" applyFill="1" applyBorder="1" applyAlignment="1">
      <alignment horizontal="center" vertical="center"/>
    </xf>
    <xf numFmtId="38" fontId="5" fillId="0" borderId="0" xfId="0" applyNumberFormat="1" applyFont="1" applyAlignment="1">
      <alignment horizontal="center" vertical="center"/>
    </xf>
    <xf numFmtId="38" fontId="9" fillId="6" borderId="2" xfId="0" applyNumberFormat="1" applyFont="1" applyFill="1" applyBorder="1" applyAlignment="1">
      <alignment horizontal="center" vertical="center"/>
    </xf>
    <xf numFmtId="38" fontId="9" fillId="7" borderId="1" xfId="0" applyNumberFormat="1" applyFont="1" applyFill="1" applyBorder="1" applyAlignment="1">
      <alignment horizontal="center" vertical="center"/>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top" wrapText="1"/>
    </xf>
    <xf numFmtId="0" fontId="16" fillId="0" borderId="0" xfId="0" applyFont="1" applyAlignment="1">
      <alignment horizontal="center" wrapText="1"/>
    </xf>
    <xf numFmtId="38" fontId="9" fillId="6" borderId="2" xfId="0" applyNumberFormat="1" applyFont="1" applyFill="1" applyBorder="1" applyAlignment="1">
      <alignment horizontal="center"/>
    </xf>
    <xf numFmtId="38" fontId="9" fillId="7" borderId="1" xfId="0" applyNumberFormat="1" applyFont="1" applyFill="1" applyBorder="1" applyAlignment="1">
      <alignment horizontal="center"/>
    </xf>
    <xf numFmtId="38" fontId="9" fillId="7" borderId="2" xfId="0" applyNumberFormat="1" applyFont="1" applyFill="1" applyBorder="1" applyAlignment="1">
      <alignment horizontal="center"/>
    </xf>
    <xf numFmtId="0" fontId="5" fillId="3" borderId="7" xfId="0" applyFont="1" applyFill="1" applyBorder="1" applyAlignment="1">
      <alignment horizontal="left" vertical="top"/>
    </xf>
    <xf numFmtId="38" fontId="13" fillId="3" borderId="7" xfId="0" applyNumberFormat="1" applyFont="1" applyFill="1" applyBorder="1" applyAlignment="1">
      <alignment horizontal="center" vertical="top" wrapText="1"/>
    </xf>
    <xf numFmtId="38" fontId="12" fillId="3" borderId="7" xfId="0" applyNumberFormat="1" applyFont="1" applyFill="1" applyBorder="1" applyAlignment="1">
      <alignment horizontal="center" vertical="top" shrinkToFit="1"/>
    </xf>
    <xf numFmtId="38" fontId="10" fillId="5" borderId="1" xfId="1" applyNumberFormat="1" applyFont="1" applyFill="1" applyBorder="1" applyAlignment="1">
      <alignment horizontal="center" vertical="top" shrinkToFit="1"/>
    </xf>
    <xf numFmtId="38" fontId="10" fillId="4" borderId="2" xfId="1" applyNumberFormat="1" applyFont="1" applyFill="1" applyBorder="1" applyAlignment="1">
      <alignment horizontal="center" vertical="top" wrapText="1"/>
    </xf>
    <xf numFmtId="0" fontId="9" fillId="3" borderId="1" xfId="0" applyFont="1" applyFill="1" applyBorder="1" applyAlignment="1">
      <alignment horizontal="center" vertical="top" wrapText="1"/>
    </xf>
    <xf numFmtId="0" fontId="8" fillId="3" borderId="2" xfId="0" applyFont="1" applyFill="1" applyBorder="1" applyAlignment="1">
      <alignment horizontal="center" vertical="top" wrapText="1"/>
    </xf>
    <xf numFmtId="3" fontId="9" fillId="3" borderId="2" xfId="0" applyNumberFormat="1" applyFont="1" applyFill="1" applyBorder="1" applyAlignment="1">
      <alignment horizontal="center" vertical="top" wrapText="1"/>
    </xf>
    <xf numFmtId="38" fontId="8" fillId="6" borderId="2" xfId="0" applyNumberFormat="1" applyFont="1" applyFill="1" applyBorder="1" applyAlignment="1">
      <alignment horizontal="center" wrapText="1"/>
    </xf>
    <xf numFmtId="38" fontId="9" fillId="7" borderId="1" xfId="0" applyNumberFormat="1" applyFont="1" applyFill="1" applyBorder="1" applyAlignment="1">
      <alignment horizontal="center" vertical="top"/>
    </xf>
    <xf numFmtId="38" fontId="9" fillId="7" borderId="2" xfId="0" applyNumberFormat="1" applyFont="1" applyFill="1" applyBorder="1" applyAlignment="1">
      <alignment horizontal="center" vertical="top"/>
    </xf>
    <xf numFmtId="0" fontId="9" fillId="0" borderId="0" xfId="0" applyFont="1" applyAlignment="1">
      <alignment horizontal="center" vertical="center"/>
    </xf>
    <xf numFmtId="38" fontId="5" fillId="0" borderId="0" xfId="0" applyNumberFormat="1" applyFont="1" applyAlignment="1">
      <alignment horizontal="left" vertical="top"/>
    </xf>
    <xf numFmtId="0" fontId="9" fillId="7" borderId="2" xfId="0" applyFont="1" applyFill="1" applyBorder="1" applyAlignment="1">
      <alignment vertical="top"/>
    </xf>
    <xf numFmtId="0" fontId="8" fillId="0" borderId="7" xfId="0" applyFont="1" applyBorder="1" applyAlignment="1">
      <alignment horizontal="center" wrapText="1"/>
    </xf>
    <xf numFmtId="0" fontId="9" fillId="7" borderId="1" xfId="0" applyFont="1" applyFill="1" applyBorder="1" applyAlignment="1">
      <alignment vertical="top"/>
    </xf>
    <xf numFmtId="38" fontId="9" fillId="6" borderId="2"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38" fontId="9" fillId="7" borderId="2" xfId="3" applyNumberFormat="1" applyFont="1" applyFill="1" applyBorder="1" applyAlignment="1">
      <alignment horizontal="center" vertical="center"/>
    </xf>
    <xf numFmtId="38" fontId="9" fillId="7" borderId="2" xfId="0" applyNumberFormat="1" applyFont="1" applyFill="1" applyBorder="1" applyAlignment="1">
      <alignment horizontal="center" vertical="center"/>
    </xf>
    <xf numFmtId="0" fontId="13" fillId="5" borderId="2" xfId="0" applyFont="1" applyFill="1" applyBorder="1" applyAlignment="1">
      <alignment horizontal="left" wrapText="1"/>
    </xf>
    <xf numFmtId="0" fontId="10" fillId="0" borderId="0" xfId="0" applyFont="1" applyAlignment="1">
      <alignment horizontal="left" vertical="top"/>
    </xf>
    <xf numFmtId="0" fontId="11" fillId="5" borderId="2" xfId="0" applyFont="1" applyFill="1" applyBorder="1" applyAlignment="1">
      <alignment horizontal="left" vertical="top" wrapText="1"/>
    </xf>
    <xf numFmtId="0" fontId="13" fillId="5" borderId="2" xfId="0" applyFont="1" applyFill="1" applyBorder="1" applyAlignment="1">
      <alignment horizontal="center" vertical="top" wrapText="1"/>
    </xf>
    <xf numFmtId="38" fontId="12" fillId="5" borderId="2" xfId="0" applyNumberFormat="1" applyFont="1" applyFill="1" applyBorder="1" applyAlignment="1">
      <alignment horizontal="center" vertical="center"/>
    </xf>
    <xf numFmtId="0" fontId="17" fillId="0" borderId="0" xfId="0" applyFont="1" applyAlignment="1">
      <alignment horizontal="left" vertical="top"/>
    </xf>
    <xf numFmtId="0" fontId="13" fillId="5" borderId="2" xfId="0" applyFont="1" applyFill="1" applyBorder="1" applyAlignment="1">
      <alignment vertical="top" wrapText="1"/>
    </xf>
    <xf numFmtId="0" fontId="12" fillId="7" borderId="2" xfId="0" applyFont="1" applyFill="1" applyBorder="1" applyAlignment="1">
      <alignment horizontal="left" vertical="top"/>
    </xf>
    <xf numFmtId="14" fontId="12" fillId="7" borderId="2" xfId="0" applyNumberFormat="1" applyFont="1" applyFill="1" applyBorder="1" applyAlignment="1">
      <alignment horizontal="center" vertical="center"/>
    </xf>
    <xf numFmtId="164" fontId="12" fillId="7" borderId="2" xfId="0" applyNumberFormat="1" applyFont="1" applyFill="1" applyBorder="1" applyAlignment="1">
      <alignment horizontal="center" vertical="center"/>
    </xf>
    <xf numFmtId="38" fontId="12" fillId="7" borderId="1" xfId="3" applyNumberFormat="1" applyFont="1" applyFill="1" applyBorder="1" applyAlignment="1">
      <alignment horizontal="center" vertical="center"/>
    </xf>
    <xf numFmtId="38" fontId="12" fillId="7" borderId="1" xfId="0" applyNumberFormat="1" applyFont="1" applyFill="1" applyBorder="1" applyAlignment="1">
      <alignment horizontal="center" vertical="center"/>
    </xf>
    <xf numFmtId="38" fontId="12" fillId="7" borderId="2" xfId="3" applyNumberFormat="1" applyFont="1" applyFill="1" applyBorder="1" applyAlignment="1">
      <alignment horizontal="center" vertical="center"/>
    </xf>
    <xf numFmtId="38" fontId="12" fillId="7" borderId="2" xfId="0" applyNumberFormat="1" applyFont="1" applyFill="1" applyBorder="1" applyAlignment="1">
      <alignment horizontal="center" vertical="center"/>
    </xf>
    <xf numFmtId="38" fontId="12" fillId="7" borderId="7" xfId="3" applyNumberFormat="1" applyFont="1" applyFill="1" applyBorder="1" applyAlignment="1">
      <alignment horizontal="center" vertical="center"/>
    </xf>
    <xf numFmtId="38" fontId="12" fillId="7" borderId="7" xfId="0" applyNumberFormat="1" applyFont="1" applyFill="1" applyBorder="1" applyAlignment="1">
      <alignment horizontal="center" vertical="center"/>
    </xf>
    <xf numFmtId="38" fontId="12" fillId="7" borderId="11" xfId="3" applyNumberFormat="1" applyFont="1" applyFill="1" applyBorder="1" applyAlignment="1">
      <alignment horizontal="center" vertical="center"/>
    </xf>
    <xf numFmtId="0" fontId="9" fillId="6" borderId="2" xfId="0" applyFont="1" applyFill="1" applyBorder="1" applyAlignment="1">
      <alignment vertical="top"/>
    </xf>
    <xf numFmtId="38" fontId="12" fillId="5" borderId="2" xfId="0" applyNumberFormat="1" applyFont="1" applyFill="1" applyBorder="1" applyAlignment="1">
      <alignment horizontal="center" vertical="top"/>
    </xf>
    <xf numFmtId="0" fontId="12" fillId="0" borderId="0" xfId="0" applyFont="1" applyAlignment="1">
      <alignment horizontal="center" vertical="top"/>
    </xf>
    <xf numFmtId="0" fontId="5" fillId="3" borderId="4" xfId="0" applyFont="1" applyFill="1" applyBorder="1" applyAlignment="1">
      <alignment vertical="top"/>
    </xf>
    <xf numFmtId="38" fontId="12" fillId="3" borderId="2" xfId="0" applyNumberFormat="1" applyFont="1" applyFill="1" applyBorder="1" applyAlignment="1">
      <alignment horizontal="center" vertical="center" wrapText="1"/>
    </xf>
    <xf numFmtId="38" fontId="10" fillId="5" borderId="2" xfId="0" applyNumberFormat="1" applyFont="1" applyFill="1" applyBorder="1" applyAlignment="1">
      <alignment horizontal="center" vertical="top"/>
    </xf>
    <xf numFmtId="38" fontId="12" fillId="5" borderId="2" xfId="1" applyNumberFormat="1" applyFont="1" applyFill="1" applyBorder="1" applyAlignment="1">
      <alignment horizontal="center" vertical="top"/>
    </xf>
    <xf numFmtId="38" fontId="6" fillId="5" borderId="2" xfId="1" applyNumberFormat="1" applyFont="1" applyFill="1" applyBorder="1" applyAlignment="1">
      <alignment horizontal="center" vertical="center" wrapText="1"/>
    </xf>
    <xf numFmtId="38" fontId="5" fillId="5" borderId="2" xfId="1" applyNumberFormat="1" applyFont="1" applyFill="1" applyBorder="1" applyAlignment="1">
      <alignment horizontal="center" vertical="center" shrinkToFit="1"/>
    </xf>
    <xf numFmtId="38" fontId="8" fillId="5" borderId="1" xfId="1" applyNumberFormat="1" applyFont="1" applyFill="1" applyBorder="1" applyAlignment="1">
      <alignment horizontal="center" vertical="center" wrapText="1"/>
    </xf>
    <xf numFmtId="0" fontId="5" fillId="5" borderId="12" xfId="2" applyFont="1" applyFill="1" applyBorder="1" applyAlignment="1">
      <alignment horizontal="left" vertical="top"/>
    </xf>
    <xf numFmtId="0" fontId="12" fillId="5" borderId="12" xfId="2" applyFont="1" applyFill="1" applyBorder="1" applyAlignment="1">
      <alignment horizontal="left" vertical="top"/>
    </xf>
    <xf numFmtId="0" fontId="13" fillId="5" borderId="12" xfId="2" applyFont="1" applyFill="1" applyBorder="1" applyAlignment="1">
      <alignment horizontal="left" vertical="top" wrapText="1"/>
    </xf>
    <xf numFmtId="38" fontId="12" fillId="5" borderId="12" xfId="0" applyNumberFormat="1" applyFont="1" applyFill="1" applyBorder="1" applyAlignment="1">
      <alignment horizontal="center" vertical="top"/>
    </xf>
    <xf numFmtId="38" fontId="12" fillId="5" borderId="12" xfId="1" applyNumberFormat="1" applyFont="1" applyFill="1" applyBorder="1" applyAlignment="1">
      <alignment horizontal="center" vertical="top" shrinkToFit="1"/>
    </xf>
    <xf numFmtId="38" fontId="10" fillId="5" borderId="2" xfId="0" applyNumberFormat="1" applyFont="1" applyFill="1" applyBorder="1" applyAlignment="1">
      <alignment horizontal="center" vertical="center" shrinkToFit="1"/>
    </xf>
    <xf numFmtId="0" fontId="9" fillId="0" borderId="2" xfId="0" applyFont="1" applyBorder="1" applyAlignment="1">
      <alignment horizontal="center" vertical="center"/>
    </xf>
    <xf numFmtId="0" fontId="11" fillId="0" borderId="2" xfId="0" applyFont="1" applyBorder="1" applyAlignment="1">
      <alignment horizontal="center" wrapText="1"/>
    </xf>
    <xf numFmtId="38" fontId="8" fillId="2" borderId="1" xfId="0" applyNumberFormat="1" applyFont="1" applyFill="1" applyBorder="1" applyAlignment="1">
      <alignment horizontal="center" wrapText="1"/>
    </xf>
    <xf numFmtId="38" fontId="8" fillId="0" borderId="0" xfId="0" applyNumberFormat="1" applyFont="1" applyAlignment="1">
      <alignment wrapText="1"/>
    </xf>
    <xf numFmtId="0" fontId="2" fillId="0" borderId="0" xfId="6"/>
    <xf numFmtId="0" fontId="2" fillId="0" borderId="0" xfId="6" applyAlignment="1">
      <alignment horizontal="center"/>
    </xf>
    <xf numFmtId="0" fontId="18" fillId="0" borderId="0" xfId="6" applyFont="1"/>
    <xf numFmtId="0" fontId="18" fillId="0" borderId="0" xfId="6" applyFont="1" applyAlignment="1">
      <alignment vertical="center" wrapText="1"/>
    </xf>
    <xf numFmtId="7" fontId="5" fillId="0" borderId="2" xfId="7" applyNumberFormat="1" applyFont="1" applyBorder="1" applyAlignment="1">
      <alignment horizontal="center" vertical="center"/>
    </xf>
    <xf numFmtId="0" fontId="18" fillId="0" borderId="2" xfId="6" applyFont="1" applyBorder="1" applyAlignment="1">
      <alignment horizontal="center"/>
    </xf>
    <xf numFmtId="0" fontId="18" fillId="0" borderId="2" xfId="6" applyFont="1" applyBorder="1"/>
    <xf numFmtId="8" fontId="18" fillId="0" borderId="2" xfId="6" applyNumberFormat="1" applyFont="1" applyBorder="1" applyAlignment="1">
      <alignment horizontal="center"/>
    </xf>
    <xf numFmtId="0" fontId="0" fillId="0" borderId="0" xfId="6" applyFont="1"/>
    <xf numFmtId="166" fontId="18" fillId="0" borderId="2" xfId="6" applyNumberFormat="1" applyFont="1" applyBorder="1" applyAlignment="1">
      <alignment horizontal="center"/>
    </xf>
    <xf numFmtId="38" fontId="18" fillId="0" borderId="2" xfId="6" applyNumberFormat="1" applyFont="1" applyBorder="1" applyAlignment="1">
      <alignment horizontal="center" vertical="center"/>
    </xf>
    <xf numFmtId="165" fontId="18" fillId="0" borderId="2" xfId="6" applyNumberFormat="1" applyFont="1" applyBorder="1" applyAlignment="1">
      <alignment horizontal="center" vertical="center"/>
    </xf>
    <xf numFmtId="0" fontId="18" fillId="0" borderId="2" xfId="6" applyFont="1" applyBorder="1" applyAlignment="1">
      <alignment horizontal="center" vertical="center"/>
    </xf>
    <xf numFmtId="0" fontId="8" fillId="0" borderId="7" xfId="6" applyFont="1" applyBorder="1" applyAlignment="1">
      <alignment horizontal="center" vertical="center" wrapText="1"/>
    </xf>
    <xf numFmtId="0" fontId="18" fillId="0" borderId="0" xfId="6" applyFont="1" applyAlignment="1">
      <alignment horizontal="center"/>
    </xf>
    <xf numFmtId="167" fontId="18" fillId="0" borderId="2" xfId="6" applyNumberFormat="1" applyFont="1" applyBorder="1" applyAlignment="1">
      <alignment horizontal="center"/>
    </xf>
    <xf numFmtId="165" fontId="18" fillId="0" borderId="2" xfId="6" applyNumberFormat="1" applyFont="1" applyBorder="1" applyAlignment="1">
      <alignment horizontal="center"/>
    </xf>
    <xf numFmtId="0" fontId="11" fillId="5" borderId="2" xfId="0" applyFont="1" applyFill="1" applyBorder="1" applyAlignment="1">
      <alignment vertical="center" wrapText="1"/>
    </xf>
    <xf numFmtId="0" fontId="8" fillId="5" borderId="2" xfId="0" applyFont="1" applyFill="1" applyBorder="1" applyAlignment="1">
      <alignment vertical="center" wrapText="1"/>
    </xf>
    <xf numFmtId="0" fontId="9" fillId="5" borderId="2" xfId="0" applyFont="1" applyFill="1" applyBorder="1" applyAlignment="1">
      <alignment vertical="center"/>
    </xf>
    <xf numFmtId="0" fontId="1" fillId="0" borderId="0" xfId="6" applyFont="1"/>
    <xf numFmtId="0" fontId="5" fillId="5" borderId="2" xfId="0" applyFont="1" applyFill="1" applyBorder="1" applyAlignment="1">
      <alignment vertical="center"/>
    </xf>
    <xf numFmtId="0" fontId="8" fillId="5" borderId="1" xfId="0" applyFont="1" applyFill="1" applyBorder="1" applyAlignment="1">
      <alignment vertical="center" wrapText="1"/>
    </xf>
    <xf numFmtId="0" fontId="9" fillId="0" borderId="0" xfId="0" applyFont="1" applyAlignment="1">
      <alignment horizontal="left" vertical="center"/>
    </xf>
    <xf numFmtId="0" fontId="8" fillId="5" borderId="4" xfId="0" applyFont="1" applyFill="1" applyBorder="1" applyAlignment="1">
      <alignment vertical="center" wrapText="1"/>
    </xf>
    <xf numFmtId="0" fontId="0" fillId="5" borderId="2" xfId="0" applyFill="1" applyBorder="1" applyAlignment="1">
      <alignment horizontal="center" vertical="center"/>
    </xf>
    <xf numFmtId="0" fontId="5" fillId="5" borderId="2" xfId="0" applyFont="1" applyFill="1" applyBorder="1" applyAlignment="1">
      <alignment horizontal="left" vertical="top"/>
    </xf>
    <xf numFmtId="38" fontId="11" fillId="5" borderId="1" xfId="0" applyNumberFormat="1" applyFont="1" applyFill="1" applyBorder="1" applyAlignment="1">
      <alignment horizontal="center" vertical="center" wrapText="1"/>
    </xf>
    <xf numFmtId="38" fontId="13" fillId="5" borderId="1" xfId="0" applyNumberFormat="1" applyFont="1" applyFill="1" applyBorder="1" applyAlignment="1">
      <alignment horizontal="center" vertical="center" wrapText="1"/>
    </xf>
    <xf numFmtId="0" fontId="13" fillId="5" borderId="2" xfId="2" applyFont="1" applyFill="1" applyBorder="1" applyAlignment="1">
      <alignment horizontal="left" vertical="center" wrapText="1"/>
    </xf>
    <xf numFmtId="0" fontId="11" fillId="5" borderId="2" xfId="2" applyFont="1" applyFill="1" applyBorder="1" applyAlignment="1">
      <alignment horizontal="left" vertical="top" wrapText="1"/>
    </xf>
    <xf numFmtId="0" fontId="10" fillId="5" borderId="2" xfId="2" applyFont="1" applyFill="1" applyBorder="1" applyAlignment="1">
      <alignment horizontal="left" vertical="top"/>
    </xf>
    <xf numFmtId="0" fontId="13" fillId="5"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11" fillId="3" borderId="4" xfId="0" applyFont="1" applyFill="1" applyBorder="1" applyAlignment="1">
      <alignment horizontal="left" vertical="center" wrapText="1"/>
    </xf>
    <xf numFmtId="0" fontId="9" fillId="5" borderId="2" xfId="0" applyFont="1" applyFill="1" applyBorder="1" applyAlignment="1">
      <alignment horizontal="left" vertical="top"/>
    </xf>
    <xf numFmtId="0" fontId="8" fillId="5" borderId="2" xfId="0" applyFont="1" applyFill="1" applyBorder="1" applyAlignment="1">
      <alignment vertical="top" wrapText="1"/>
    </xf>
    <xf numFmtId="0" fontId="9" fillId="7" borderId="4" xfId="0" applyFont="1" applyFill="1" applyBorder="1" applyAlignment="1">
      <alignment vertical="top"/>
    </xf>
    <xf numFmtId="0" fontId="9" fillId="7" borderId="5" xfId="0" applyFont="1" applyFill="1" applyBorder="1" applyAlignment="1">
      <alignment vertical="top"/>
    </xf>
    <xf numFmtId="0" fontId="9" fillId="7" borderId="3" xfId="0" applyFont="1" applyFill="1" applyBorder="1" applyAlignment="1">
      <alignment vertical="top"/>
    </xf>
    <xf numFmtId="0" fontId="8" fillId="0" borderId="2" xfId="0" applyFont="1" applyBorder="1" applyAlignment="1">
      <alignment horizontal="center" vertical="center" wrapText="1"/>
    </xf>
    <xf numFmtId="0" fontId="18" fillId="0" borderId="0" xfId="6" applyFont="1" applyAlignment="1">
      <alignment horizontal="left" vertical="center" wrapText="1"/>
    </xf>
    <xf numFmtId="0" fontId="2" fillId="0" borderId="6" xfId="6" applyBorder="1" applyAlignment="1">
      <alignment horizontal="center"/>
    </xf>
    <xf numFmtId="0" fontId="0" fillId="0" borderId="0" xfId="0" applyAlignment="1">
      <alignment horizontal="center" wrapText="1"/>
    </xf>
    <xf numFmtId="0" fontId="2" fillId="0" borderId="6" xfId="6" applyBorder="1"/>
    <xf numFmtId="49" fontId="18" fillId="0" borderId="2" xfId="6" applyNumberFormat="1" applyFont="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13" fillId="3" borderId="4" xfId="0" applyFont="1" applyFill="1" applyBorder="1" applyAlignment="1">
      <alignment horizontal="left" vertical="top" wrapText="1"/>
    </xf>
    <xf numFmtId="0" fontId="13" fillId="3" borderId="5" xfId="0" applyFont="1" applyFill="1" applyBorder="1" applyAlignment="1">
      <alignment horizontal="left" vertical="top" wrapText="1"/>
    </xf>
    <xf numFmtId="0" fontId="13" fillId="3" borderId="3" xfId="0" applyFont="1" applyFill="1" applyBorder="1" applyAlignment="1">
      <alignment horizontal="left" vertical="top" wrapText="1"/>
    </xf>
    <xf numFmtId="0" fontId="11" fillId="5" borderId="2" xfId="2" applyFont="1" applyFill="1" applyBorder="1" applyAlignment="1">
      <alignment horizontal="left" wrapText="1"/>
    </xf>
    <xf numFmtId="0" fontId="11" fillId="5" borderId="2" xfId="2" applyFont="1" applyFill="1" applyBorder="1" applyAlignment="1">
      <alignment horizontal="left" vertical="center" wrapText="1"/>
    </xf>
    <xf numFmtId="0" fontId="13" fillId="5" borderId="2" xfId="2" applyFont="1" applyFill="1" applyBorder="1" applyAlignment="1">
      <alignment horizontal="left" vertical="center" wrapText="1"/>
    </xf>
    <xf numFmtId="0" fontId="11" fillId="5" borderId="2" xfId="2" applyFont="1" applyFill="1" applyBorder="1" applyAlignment="1">
      <alignment horizontal="left" vertical="top" wrapText="1"/>
    </xf>
    <xf numFmtId="0" fontId="10" fillId="5" borderId="2" xfId="2" applyFont="1" applyFill="1" applyBorder="1" applyAlignment="1">
      <alignment horizontal="left" vertical="top"/>
    </xf>
    <xf numFmtId="0" fontId="13" fillId="5"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13" fillId="5" borderId="2" xfId="2" applyFont="1" applyFill="1" applyBorder="1" applyAlignment="1">
      <alignment horizontal="left" wrapText="1"/>
    </xf>
    <xf numFmtId="0" fontId="9" fillId="5" borderId="2" xfId="2" applyFont="1" applyFill="1" applyBorder="1" applyAlignment="1">
      <alignment horizontal="left" vertical="top"/>
    </xf>
    <xf numFmtId="0" fontId="8" fillId="5" borderId="1" xfId="2" applyFont="1" applyFill="1" applyBorder="1" applyAlignment="1">
      <alignment horizontal="left" wrapText="1"/>
    </xf>
    <xf numFmtId="0" fontId="8" fillId="5" borderId="2" xfId="2" applyFont="1" applyFill="1" applyBorder="1" applyAlignment="1">
      <alignment horizontal="left" vertical="center" wrapText="1"/>
    </xf>
    <xf numFmtId="0" fontId="11" fillId="5" borderId="2" xfId="2" applyFont="1" applyFill="1" applyBorder="1" applyAlignment="1">
      <alignment vertical="top" wrapText="1"/>
    </xf>
    <xf numFmtId="0" fontId="8" fillId="5" borderId="1" xfId="2" applyFont="1" applyFill="1" applyBorder="1" applyAlignment="1">
      <alignment horizontal="left" vertical="center" wrapText="1"/>
    </xf>
    <xf numFmtId="0" fontId="11" fillId="5" borderId="2" xfId="2" applyFont="1" applyFill="1" applyBorder="1" applyAlignment="1">
      <alignment horizontal="left"/>
    </xf>
    <xf numFmtId="0" fontId="9" fillId="2" borderId="0" xfId="0" applyFont="1" applyFill="1" applyAlignment="1">
      <alignment horizontal="left" vertical="top" wrapText="1"/>
    </xf>
    <xf numFmtId="0" fontId="9" fillId="2" borderId="6"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2" xfId="0" applyFont="1" applyFill="1" applyBorder="1" applyAlignment="1">
      <alignment horizontal="left" vertical="center" wrapText="1"/>
    </xf>
    <xf numFmtId="0" fontId="11" fillId="3" borderId="2" xfId="0" applyFont="1" applyFill="1" applyBorder="1" applyAlignment="1">
      <alignment horizontal="left" vertical="top" wrapText="1"/>
    </xf>
    <xf numFmtId="0" fontId="9" fillId="4" borderId="2" xfId="0" applyFont="1" applyFill="1" applyBorder="1" applyAlignment="1">
      <alignment horizontal="left" vertical="top"/>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3" fillId="3" borderId="2"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3" xfId="0" applyFont="1" applyFill="1" applyBorder="1" applyAlignment="1">
      <alignment horizontal="left" vertical="top" wrapText="1"/>
    </xf>
    <xf numFmtId="0" fontId="11" fillId="3" borderId="4" xfId="0" applyFont="1" applyFill="1" applyBorder="1" applyAlignment="1">
      <alignment vertical="top" wrapText="1"/>
    </xf>
    <xf numFmtId="0" fontId="11" fillId="3" borderId="5" xfId="0" applyFont="1" applyFill="1" applyBorder="1" applyAlignment="1">
      <alignment vertical="top" wrapText="1"/>
    </xf>
    <xf numFmtId="0" fontId="11" fillId="3" borderId="3" xfId="0" applyFont="1" applyFill="1" applyBorder="1" applyAlignment="1">
      <alignment vertical="top" wrapText="1"/>
    </xf>
    <xf numFmtId="0" fontId="13" fillId="3" borderId="4" xfId="0" applyFont="1" applyFill="1" applyBorder="1" applyAlignment="1">
      <alignment vertical="top" wrapText="1"/>
    </xf>
    <xf numFmtId="0" fontId="13" fillId="3" borderId="5" xfId="0" applyFont="1" applyFill="1" applyBorder="1" applyAlignment="1">
      <alignment vertical="top" wrapText="1"/>
    </xf>
    <xf numFmtId="0" fontId="13" fillId="3" borderId="3" xfId="0" applyFont="1" applyFill="1" applyBorder="1" applyAlignment="1">
      <alignmen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3" borderId="10" xfId="0" applyFont="1" applyFill="1" applyBorder="1" applyAlignment="1">
      <alignment horizontal="left" vertical="top"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9" fillId="5" borderId="2" xfId="0" applyFont="1" applyFill="1" applyBorder="1" applyAlignment="1">
      <alignment horizontal="left" vertical="center"/>
    </xf>
    <xf numFmtId="0" fontId="11" fillId="5" borderId="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2" xfId="0" applyFont="1" applyFill="1" applyBorder="1" applyAlignment="1">
      <alignment horizontal="left" vertical="center" wrapText="1"/>
    </xf>
    <xf numFmtId="0" fontId="9" fillId="4" borderId="2" xfId="0" applyFont="1" applyFill="1" applyBorder="1" applyAlignment="1">
      <alignmen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9" fillId="5" borderId="3" xfId="0" applyFont="1" applyFill="1" applyBorder="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2" borderId="2" xfId="0" applyFont="1" applyFill="1" applyBorder="1" applyAlignment="1">
      <alignment horizontal="left" vertical="center"/>
    </xf>
    <xf numFmtId="0" fontId="9" fillId="4" borderId="2" xfId="0" applyFont="1" applyFill="1" applyBorder="1" applyAlignment="1">
      <alignment horizontal="left" vertical="center"/>
    </xf>
    <xf numFmtId="0" fontId="9" fillId="3" borderId="2" xfId="0" applyFont="1" applyFill="1" applyBorder="1" applyAlignment="1">
      <alignment horizontal="left" vertical="center" wrapText="1"/>
    </xf>
    <xf numFmtId="0" fontId="9" fillId="5" borderId="2" xfId="0" applyFont="1" applyFill="1" applyBorder="1" applyAlignment="1">
      <alignment horizontal="left" vertical="top"/>
    </xf>
    <xf numFmtId="0" fontId="9" fillId="2" borderId="2"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5" borderId="4" xfId="0" applyFont="1" applyFill="1" applyBorder="1" applyAlignment="1">
      <alignment horizontal="left" vertical="top"/>
    </xf>
    <xf numFmtId="0" fontId="9" fillId="5" borderId="5" xfId="0" applyFont="1" applyFill="1" applyBorder="1" applyAlignment="1">
      <alignment horizontal="left" vertical="top"/>
    </xf>
    <xf numFmtId="0" fontId="9" fillId="5" borderId="3" xfId="0" applyFont="1" applyFill="1" applyBorder="1" applyAlignment="1">
      <alignment horizontal="left" vertical="top"/>
    </xf>
    <xf numFmtId="0" fontId="8" fillId="5" borderId="4"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2" xfId="0" applyFont="1" applyFill="1" applyBorder="1" applyAlignment="1">
      <alignment horizontal="left" vertical="top" wrapText="1"/>
    </xf>
    <xf numFmtId="0" fontId="9" fillId="6" borderId="2" xfId="0" applyFont="1" applyFill="1" applyBorder="1" applyAlignment="1">
      <alignment horizontal="left" vertical="center"/>
    </xf>
    <xf numFmtId="0" fontId="9" fillId="7" borderId="4" xfId="0" applyFont="1" applyFill="1" applyBorder="1" applyAlignment="1">
      <alignment horizontal="left" vertical="center"/>
    </xf>
    <xf numFmtId="0" fontId="9" fillId="7" borderId="3" xfId="0" applyFont="1" applyFill="1" applyBorder="1" applyAlignment="1">
      <alignment horizontal="left" vertical="center"/>
    </xf>
    <xf numFmtId="0" fontId="9" fillId="0" borderId="2" xfId="0" applyFont="1" applyBorder="1" applyAlignment="1">
      <alignment horizontal="center" vertical="center" wrapText="1"/>
    </xf>
    <xf numFmtId="0" fontId="8" fillId="2" borderId="2"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4" borderId="2"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2" xfId="0" applyFont="1" applyFill="1" applyBorder="1" applyAlignment="1">
      <alignment vertical="top" wrapText="1"/>
    </xf>
    <xf numFmtId="0" fontId="9" fillId="7" borderId="4" xfId="0" applyFont="1" applyFill="1" applyBorder="1" applyAlignment="1">
      <alignment horizontal="left" vertical="top"/>
    </xf>
    <xf numFmtId="0" fontId="9" fillId="7" borderId="3" xfId="0" applyFont="1" applyFill="1" applyBorder="1" applyAlignment="1">
      <alignment horizontal="left" vertical="top"/>
    </xf>
    <xf numFmtId="0" fontId="8" fillId="0" borderId="7" xfId="0" applyFont="1" applyBorder="1" applyAlignment="1">
      <alignment horizontal="center" vertical="center" wrapText="1"/>
    </xf>
    <xf numFmtId="0" fontId="8" fillId="4" borderId="2" xfId="0" applyFont="1" applyFill="1" applyBorder="1" applyAlignment="1">
      <alignment horizontal="left" vertical="top" wrapText="1"/>
    </xf>
    <xf numFmtId="0" fontId="8" fillId="5" borderId="1" xfId="0" applyFont="1" applyFill="1" applyBorder="1" applyAlignment="1">
      <alignment horizontal="left" vertical="top" wrapText="1"/>
    </xf>
    <xf numFmtId="0" fontId="9" fillId="7" borderId="4" xfId="0" applyFont="1" applyFill="1" applyBorder="1" applyAlignment="1">
      <alignment vertical="top"/>
    </xf>
    <xf numFmtId="0" fontId="9" fillId="7" borderId="5" xfId="0" applyFont="1" applyFill="1" applyBorder="1" applyAlignment="1">
      <alignment vertical="top"/>
    </xf>
    <xf numFmtId="0" fontId="9" fillId="7" borderId="3" xfId="0" applyFont="1" applyFill="1" applyBorder="1" applyAlignment="1">
      <alignment vertical="top"/>
    </xf>
    <xf numFmtId="0" fontId="9" fillId="7" borderId="5" xfId="0" applyFont="1" applyFill="1" applyBorder="1" applyAlignment="1">
      <alignment horizontal="left" vertical="top"/>
    </xf>
    <xf numFmtId="0" fontId="8" fillId="0" borderId="2" xfId="0" applyFont="1" applyBorder="1" applyAlignment="1">
      <alignment horizontal="center" vertical="center" wrapText="1"/>
    </xf>
    <xf numFmtId="0" fontId="8" fillId="6" borderId="2" xfId="0" applyFont="1" applyFill="1" applyBorder="1" applyAlignment="1">
      <alignment horizontal="left" vertical="center" wrapText="1"/>
    </xf>
    <xf numFmtId="0" fontId="9" fillId="7" borderId="2" xfId="0" applyFont="1" applyFill="1" applyBorder="1" applyAlignment="1">
      <alignment horizontal="left" vertical="top"/>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18" fillId="0" borderId="0" xfId="6" applyFont="1" applyAlignment="1">
      <alignment horizontal="left" vertical="center" wrapText="1"/>
    </xf>
    <xf numFmtId="0" fontId="18" fillId="0" borderId="0" xfId="6" applyFont="1" applyAlignment="1">
      <alignment horizontal="left" wrapText="1"/>
    </xf>
  </cellXfs>
  <cellStyles count="8">
    <cellStyle name="Comma" xfId="3" builtinId="3"/>
    <cellStyle name="Currency" xfId="1" builtinId="4"/>
    <cellStyle name="Currency 2" xfId="5" xr:uid="{582BAB77-BEEF-4012-B63D-689F681601A9}"/>
    <cellStyle name="Currency 2 2" xfId="7" xr:uid="{5F6C5B77-F90F-4442-A1D2-30B810A61D26}"/>
    <cellStyle name="Normal" xfId="0" builtinId="0"/>
    <cellStyle name="Normal 2" xfId="2" xr:uid="{84DB3641-C74F-475F-824D-9C316B634C38}"/>
    <cellStyle name="Normal 3" xfId="4" xr:uid="{25A14C5A-475C-4254-9FB9-A01A92E49D0F}"/>
    <cellStyle name="Normal 3 2" xfId="6" xr:uid="{EE2CCE59-D5C2-41B5-AC22-78FDF7414CE6}"/>
  </cellStyles>
  <dxfs count="2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455544</xdr:colOff>
      <xdr:row>0</xdr:row>
      <xdr:rowOff>80756</xdr:rowOff>
    </xdr:from>
    <xdr:to>
      <xdr:col>6</xdr:col>
      <xdr:colOff>84207</xdr:colOff>
      <xdr:row>12</xdr:row>
      <xdr:rowOff>4761</xdr:rowOff>
    </xdr:to>
    <xdr:pic>
      <xdr:nvPicPr>
        <xdr:cNvPr id="3" name="Picture 2">
          <a:extLst>
            <a:ext uri="{FF2B5EF4-FFF2-40B4-BE49-F238E27FC236}">
              <a16:creationId xmlns:a16="http://schemas.microsoft.com/office/drawing/2014/main" id="{FC65D338-9B66-80A2-6654-B121EB775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5718" y="80756"/>
          <a:ext cx="1749011" cy="1911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0</xdr:colOff>
      <xdr:row>0</xdr:row>
      <xdr:rowOff>0</xdr:rowOff>
    </xdr:from>
    <xdr:ext cx="1024255" cy="12700"/>
    <xdr:grpSp>
      <xdr:nvGrpSpPr>
        <xdr:cNvPr id="2" name="Group 3">
          <a:extLst>
            <a:ext uri="{FF2B5EF4-FFF2-40B4-BE49-F238E27FC236}">
              <a16:creationId xmlns:a16="http://schemas.microsoft.com/office/drawing/2014/main" id="{865C61B7-CEE2-4E8F-9EA7-A5169ABAC59B}"/>
            </a:ext>
          </a:extLst>
        </xdr:cNvPr>
        <xdr:cNvGrpSpPr/>
      </xdr:nvGrpSpPr>
      <xdr:grpSpPr>
        <a:xfrm>
          <a:off x="17187333" y="0"/>
          <a:ext cx="1024255" cy="12700"/>
          <a:chOff x="0" y="0"/>
          <a:chExt cx="1024255" cy="12700"/>
        </a:xfrm>
      </xdr:grpSpPr>
      <xdr:sp macro="" textlink="">
        <xdr:nvSpPr>
          <xdr:cNvPr id="3" name="Shape 4">
            <a:extLst>
              <a:ext uri="{FF2B5EF4-FFF2-40B4-BE49-F238E27FC236}">
                <a16:creationId xmlns:a16="http://schemas.microsoft.com/office/drawing/2014/main" id="{7B543408-6258-8852-1460-12C3F74E307B}"/>
              </a:ext>
            </a:extLst>
          </xdr:cNvPr>
          <xdr:cNvSpPr/>
        </xdr:nvSpPr>
        <xdr:spPr>
          <a:xfrm>
            <a:off x="761" y="889"/>
            <a:ext cx="1022985" cy="0"/>
          </a:xfrm>
          <a:custGeom>
            <a:avLst/>
            <a:gdLst/>
            <a:ahLst/>
            <a:cxnLst/>
            <a:rect l="0" t="0" r="0" b="0"/>
            <a:pathLst>
              <a:path w="1022985">
                <a:moveTo>
                  <a:pt x="0" y="0"/>
                </a:moveTo>
                <a:lnTo>
                  <a:pt x="1022604" y="0"/>
                </a:lnTo>
              </a:path>
            </a:pathLst>
          </a:custGeom>
          <a:ln w="3175">
            <a:solidFill>
              <a:srgbClr val="000000"/>
            </a:solidFill>
          </a:ln>
        </xdr:spPr>
      </xdr:sp>
      <xdr:sp macro="" textlink="">
        <xdr:nvSpPr>
          <xdr:cNvPr id="4" name="Shape 5">
            <a:extLst>
              <a:ext uri="{FF2B5EF4-FFF2-40B4-BE49-F238E27FC236}">
                <a16:creationId xmlns:a16="http://schemas.microsoft.com/office/drawing/2014/main" id="{14F15D4E-3B82-A4E2-BC2E-63BCE8D27224}"/>
              </a:ext>
            </a:extLst>
          </xdr:cNvPr>
          <xdr:cNvSpPr/>
        </xdr:nvSpPr>
        <xdr:spPr>
          <a:xfrm>
            <a:off x="0" y="126"/>
            <a:ext cx="1024255" cy="12700"/>
          </a:xfrm>
          <a:custGeom>
            <a:avLst/>
            <a:gdLst/>
            <a:ahLst/>
            <a:cxnLst/>
            <a:rect l="0" t="0" r="0" b="0"/>
            <a:pathLst>
              <a:path w="1024255" h="12700">
                <a:moveTo>
                  <a:pt x="1024128" y="0"/>
                </a:moveTo>
                <a:lnTo>
                  <a:pt x="0" y="0"/>
                </a:lnTo>
                <a:lnTo>
                  <a:pt x="0" y="12191"/>
                </a:lnTo>
                <a:lnTo>
                  <a:pt x="1024128" y="12191"/>
                </a:lnTo>
                <a:lnTo>
                  <a:pt x="1024128" y="0"/>
                </a:lnTo>
                <a:close/>
              </a:path>
            </a:pathLst>
          </a:custGeom>
          <a:solidFill>
            <a:srgbClr val="000000"/>
          </a:solidFill>
        </xdr:spPr>
      </xdr:sp>
    </xdr:grpSp>
    <xdr:clientData/>
  </xdr:oneCellAnchor>
  <xdr:oneCellAnchor>
    <xdr:from>
      <xdr:col>17</xdr:col>
      <xdr:colOff>0</xdr:colOff>
      <xdr:row>0</xdr:row>
      <xdr:rowOff>0</xdr:rowOff>
    </xdr:from>
    <xdr:ext cx="1024255" cy="12700"/>
    <xdr:grpSp>
      <xdr:nvGrpSpPr>
        <xdr:cNvPr id="5" name="Group 6">
          <a:extLst>
            <a:ext uri="{FF2B5EF4-FFF2-40B4-BE49-F238E27FC236}">
              <a16:creationId xmlns:a16="http://schemas.microsoft.com/office/drawing/2014/main" id="{71F85495-BFE4-47BD-955A-F4B579779A23}"/>
            </a:ext>
          </a:extLst>
        </xdr:cNvPr>
        <xdr:cNvGrpSpPr/>
      </xdr:nvGrpSpPr>
      <xdr:grpSpPr>
        <a:xfrm>
          <a:off x="17187333" y="0"/>
          <a:ext cx="1024255" cy="12700"/>
          <a:chOff x="0" y="0"/>
          <a:chExt cx="1024255" cy="12700"/>
        </a:xfrm>
      </xdr:grpSpPr>
      <xdr:sp macro="" textlink="">
        <xdr:nvSpPr>
          <xdr:cNvPr id="6" name="Shape 7">
            <a:extLst>
              <a:ext uri="{FF2B5EF4-FFF2-40B4-BE49-F238E27FC236}">
                <a16:creationId xmlns:a16="http://schemas.microsoft.com/office/drawing/2014/main" id="{BEBAD5ED-F550-7171-2745-982670582689}"/>
              </a:ext>
            </a:extLst>
          </xdr:cNvPr>
          <xdr:cNvSpPr/>
        </xdr:nvSpPr>
        <xdr:spPr>
          <a:xfrm>
            <a:off x="761" y="889"/>
            <a:ext cx="1022985" cy="0"/>
          </a:xfrm>
          <a:custGeom>
            <a:avLst/>
            <a:gdLst/>
            <a:ahLst/>
            <a:cxnLst/>
            <a:rect l="0" t="0" r="0" b="0"/>
            <a:pathLst>
              <a:path w="1022985">
                <a:moveTo>
                  <a:pt x="0" y="0"/>
                </a:moveTo>
                <a:lnTo>
                  <a:pt x="1022604" y="0"/>
                </a:lnTo>
              </a:path>
            </a:pathLst>
          </a:custGeom>
          <a:ln w="3175">
            <a:solidFill>
              <a:srgbClr val="000000"/>
            </a:solidFill>
          </a:ln>
        </xdr:spPr>
      </xdr:sp>
      <xdr:sp macro="" textlink="">
        <xdr:nvSpPr>
          <xdr:cNvPr id="7" name="Shape 8">
            <a:extLst>
              <a:ext uri="{FF2B5EF4-FFF2-40B4-BE49-F238E27FC236}">
                <a16:creationId xmlns:a16="http://schemas.microsoft.com/office/drawing/2014/main" id="{2245E0B6-7582-667A-FC95-A1473327868C}"/>
              </a:ext>
            </a:extLst>
          </xdr:cNvPr>
          <xdr:cNvSpPr/>
        </xdr:nvSpPr>
        <xdr:spPr>
          <a:xfrm>
            <a:off x="0" y="126"/>
            <a:ext cx="1024255" cy="12700"/>
          </a:xfrm>
          <a:custGeom>
            <a:avLst/>
            <a:gdLst/>
            <a:ahLst/>
            <a:cxnLst/>
            <a:rect l="0" t="0" r="0" b="0"/>
            <a:pathLst>
              <a:path w="1024255" h="12700">
                <a:moveTo>
                  <a:pt x="1024128" y="0"/>
                </a:moveTo>
                <a:lnTo>
                  <a:pt x="0" y="0"/>
                </a:lnTo>
                <a:lnTo>
                  <a:pt x="0" y="12191"/>
                </a:lnTo>
                <a:lnTo>
                  <a:pt x="1024128" y="12191"/>
                </a:lnTo>
                <a:lnTo>
                  <a:pt x="1024128" y="0"/>
                </a:lnTo>
                <a:close/>
              </a:path>
            </a:pathLst>
          </a:custGeom>
          <a:solidFill>
            <a:srgbClr val="000000"/>
          </a:solidFill>
        </xdr:spPr>
      </xdr:sp>
    </xdr:grpSp>
    <xdr:clientData/>
  </xdr:oneCellAnchor>
  <xdr:oneCellAnchor>
    <xdr:from>
      <xdr:col>17</xdr:col>
      <xdr:colOff>0</xdr:colOff>
      <xdr:row>0</xdr:row>
      <xdr:rowOff>0</xdr:rowOff>
    </xdr:from>
    <xdr:ext cx="1143000" cy="10795"/>
    <xdr:sp macro="" textlink="">
      <xdr:nvSpPr>
        <xdr:cNvPr id="15" name="Shape 16">
          <a:extLst>
            <a:ext uri="{FF2B5EF4-FFF2-40B4-BE49-F238E27FC236}">
              <a16:creationId xmlns:a16="http://schemas.microsoft.com/office/drawing/2014/main" id="{3199FC1B-B2C1-478B-8ECB-F4A2987AE778}"/>
            </a:ext>
          </a:extLst>
        </xdr:cNvPr>
        <xdr:cNvSpPr/>
      </xdr:nvSpPr>
      <xdr:spPr>
        <a:xfrm>
          <a:off x="37879990" y="0"/>
          <a:ext cx="1143000" cy="10795"/>
        </a:xfrm>
        <a:custGeom>
          <a:avLst/>
          <a:gdLst/>
          <a:ahLst/>
          <a:cxnLst/>
          <a:rect l="0" t="0" r="0" b="0"/>
          <a:pathLst>
            <a:path w="1143000" h="10795">
              <a:moveTo>
                <a:pt x="1143000" y="0"/>
              </a:moveTo>
              <a:lnTo>
                <a:pt x="0" y="0"/>
              </a:lnTo>
              <a:lnTo>
                <a:pt x="0" y="10579"/>
              </a:lnTo>
              <a:lnTo>
                <a:pt x="1143000" y="10579"/>
              </a:lnTo>
              <a:lnTo>
                <a:pt x="1143000" y="0"/>
              </a:lnTo>
              <a:close/>
            </a:path>
          </a:pathLst>
        </a:custGeom>
        <a:solidFill>
          <a:srgbClr val="000000"/>
        </a:solidFill>
      </xdr:spPr>
    </xdr:sp>
    <xdr:clientData/>
  </xdr:oneCellAnchor>
  <xdr:oneCellAnchor>
    <xdr:from>
      <xdr:col>17</xdr:col>
      <xdr:colOff>0</xdr:colOff>
      <xdr:row>0</xdr:row>
      <xdr:rowOff>0</xdr:rowOff>
    </xdr:from>
    <xdr:ext cx="1095375" cy="10795"/>
    <xdr:sp macro="" textlink="">
      <xdr:nvSpPr>
        <xdr:cNvPr id="17" name="Shape 18">
          <a:extLst>
            <a:ext uri="{FF2B5EF4-FFF2-40B4-BE49-F238E27FC236}">
              <a16:creationId xmlns:a16="http://schemas.microsoft.com/office/drawing/2014/main" id="{77435612-28DF-4BAB-B714-4562B81E77A0}"/>
            </a:ext>
          </a:extLst>
        </xdr:cNvPr>
        <xdr:cNvSpPr/>
      </xdr:nvSpPr>
      <xdr:spPr>
        <a:xfrm>
          <a:off x="23477625"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31" name="Shape 35">
          <a:extLst>
            <a:ext uri="{FF2B5EF4-FFF2-40B4-BE49-F238E27FC236}">
              <a16:creationId xmlns:a16="http://schemas.microsoft.com/office/drawing/2014/main" id="{011B48C8-7F2C-434B-889C-ED71D45681B2}"/>
            </a:ext>
          </a:extLst>
        </xdr:cNvPr>
        <xdr:cNvSpPr/>
      </xdr:nvSpPr>
      <xdr:spPr>
        <a:xfrm>
          <a:off x="3045957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32" name="Shape 36">
          <a:extLst>
            <a:ext uri="{FF2B5EF4-FFF2-40B4-BE49-F238E27FC236}">
              <a16:creationId xmlns:a16="http://schemas.microsoft.com/office/drawing/2014/main" id="{262B88A6-158F-4EAB-803F-C99CCABE26B8}"/>
            </a:ext>
          </a:extLst>
        </xdr:cNvPr>
        <xdr:cNvSpPr/>
      </xdr:nvSpPr>
      <xdr:spPr>
        <a:xfrm>
          <a:off x="3692006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019" cy="10795"/>
    <xdr:sp macro="" textlink="">
      <xdr:nvSpPr>
        <xdr:cNvPr id="33" name="Shape 37">
          <a:extLst>
            <a:ext uri="{FF2B5EF4-FFF2-40B4-BE49-F238E27FC236}">
              <a16:creationId xmlns:a16="http://schemas.microsoft.com/office/drawing/2014/main" id="{1488B82F-D5A7-4677-B77E-47E5D5794C88}"/>
            </a:ext>
          </a:extLst>
        </xdr:cNvPr>
        <xdr:cNvSpPr/>
      </xdr:nvSpPr>
      <xdr:spPr>
        <a:xfrm>
          <a:off x="44320485"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34" name="Shape 38">
          <a:extLst>
            <a:ext uri="{FF2B5EF4-FFF2-40B4-BE49-F238E27FC236}">
              <a16:creationId xmlns:a16="http://schemas.microsoft.com/office/drawing/2014/main" id="{9B31323C-C68C-4EFA-88FF-5B3AA0CA810F}"/>
            </a:ext>
          </a:extLst>
        </xdr:cNvPr>
        <xdr:cNvSpPr/>
      </xdr:nvSpPr>
      <xdr:spPr>
        <a:xfrm>
          <a:off x="51314121"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35" name="Shape 39">
          <a:extLst>
            <a:ext uri="{FF2B5EF4-FFF2-40B4-BE49-F238E27FC236}">
              <a16:creationId xmlns:a16="http://schemas.microsoft.com/office/drawing/2014/main" id="{669103AE-0A00-401C-A102-D356964A68AB}"/>
            </a:ext>
          </a:extLst>
        </xdr:cNvPr>
        <xdr:cNvSpPr/>
      </xdr:nvSpPr>
      <xdr:spPr>
        <a:xfrm>
          <a:off x="3040849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36" name="Shape 40">
          <a:extLst>
            <a:ext uri="{FF2B5EF4-FFF2-40B4-BE49-F238E27FC236}">
              <a16:creationId xmlns:a16="http://schemas.microsoft.com/office/drawing/2014/main" id="{186B1A56-3FDA-49B1-AC73-66BDC8063E9F}"/>
            </a:ext>
          </a:extLst>
        </xdr:cNvPr>
        <xdr:cNvSpPr/>
      </xdr:nvSpPr>
      <xdr:spPr>
        <a:xfrm>
          <a:off x="36868989"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019" cy="10795"/>
    <xdr:sp macro="" textlink="">
      <xdr:nvSpPr>
        <xdr:cNvPr id="37" name="Shape 41">
          <a:extLst>
            <a:ext uri="{FF2B5EF4-FFF2-40B4-BE49-F238E27FC236}">
              <a16:creationId xmlns:a16="http://schemas.microsoft.com/office/drawing/2014/main" id="{039D7D24-D54E-46B4-B43A-99770FD05721}"/>
            </a:ext>
          </a:extLst>
        </xdr:cNvPr>
        <xdr:cNvSpPr/>
      </xdr:nvSpPr>
      <xdr:spPr>
        <a:xfrm>
          <a:off x="43799506"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38" name="Shape 42">
          <a:extLst>
            <a:ext uri="{FF2B5EF4-FFF2-40B4-BE49-F238E27FC236}">
              <a16:creationId xmlns:a16="http://schemas.microsoft.com/office/drawing/2014/main" id="{919DF904-0FB2-40CB-BB42-5417CE3A2046}"/>
            </a:ext>
          </a:extLst>
        </xdr:cNvPr>
        <xdr:cNvSpPr/>
      </xdr:nvSpPr>
      <xdr:spPr>
        <a:xfrm>
          <a:off x="51263041"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39" name="Shape 43">
          <a:extLst>
            <a:ext uri="{FF2B5EF4-FFF2-40B4-BE49-F238E27FC236}">
              <a16:creationId xmlns:a16="http://schemas.microsoft.com/office/drawing/2014/main" id="{5FB72F19-404C-41D9-A8F4-57C285126615}"/>
            </a:ext>
          </a:extLst>
        </xdr:cNvPr>
        <xdr:cNvSpPr/>
      </xdr:nvSpPr>
      <xdr:spPr>
        <a:xfrm>
          <a:off x="30940334"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40" name="Shape 44">
          <a:extLst>
            <a:ext uri="{FF2B5EF4-FFF2-40B4-BE49-F238E27FC236}">
              <a16:creationId xmlns:a16="http://schemas.microsoft.com/office/drawing/2014/main" id="{3B06B362-6891-4C5A-BD57-8CF1D2D6D5ED}"/>
            </a:ext>
          </a:extLst>
        </xdr:cNvPr>
        <xdr:cNvSpPr/>
      </xdr:nvSpPr>
      <xdr:spPr>
        <a:xfrm>
          <a:off x="36930924"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019" cy="10795"/>
    <xdr:sp macro="" textlink="">
      <xdr:nvSpPr>
        <xdr:cNvPr id="41" name="Shape 45">
          <a:extLst>
            <a:ext uri="{FF2B5EF4-FFF2-40B4-BE49-F238E27FC236}">
              <a16:creationId xmlns:a16="http://schemas.microsoft.com/office/drawing/2014/main" id="{44432DB4-2154-4331-A989-D9E1D65A02FC}"/>
            </a:ext>
          </a:extLst>
        </xdr:cNvPr>
        <xdr:cNvSpPr/>
      </xdr:nvSpPr>
      <xdr:spPr>
        <a:xfrm>
          <a:off x="44303567"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42" name="Shape 46">
          <a:extLst>
            <a:ext uri="{FF2B5EF4-FFF2-40B4-BE49-F238E27FC236}">
              <a16:creationId xmlns:a16="http://schemas.microsoft.com/office/drawing/2014/main" id="{BCD4CF77-4E69-4F27-AFD0-66C3CE076E2A}"/>
            </a:ext>
          </a:extLst>
        </xdr:cNvPr>
        <xdr:cNvSpPr/>
      </xdr:nvSpPr>
      <xdr:spPr>
        <a:xfrm>
          <a:off x="51296316"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43" name="Shape 47">
          <a:extLst>
            <a:ext uri="{FF2B5EF4-FFF2-40B4-BE49-F238E27FC236}">
              <a16:creationId xmlns:a16="http://schemas.microsoft.com/office/drawing/2014/main" id="{EB2F8D2B-4C39-4E01-B372-76505207755B}"/>
            </a:ext>
          </a:extLst>
        </xdr:cNvPr>
        <xdr:cNvSpPr/>
      </xdr:nvSpPr>
      <xdr:spPr>
        <a:xfrm>
          <a:off x="30941352"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44" name="Shape 48">
          <a:extLst>
            <a:ext uri="{FF2B5EF4-FFF2-40B4-BE49-F238E27FC236}">
              <a16:creationId xmlns:a16="http://schemas.microsoft.com/office/drawing/2014/main" id="{90C81759-01E3-4CB6-BE4B-C898FB6D2F30}"/>
            </a:ext>
          </a:extLst>
        </xdr:cNvPr>
        <xdr:cNvSpPr/>
      </xdr:nvSpPr>
      <xdr:spPr>
        <a:xfrm>
          <a:off x="37338343"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019" cy="10795"/>
    <xdr:sp macro="" textlink="">
      <xdr:nvSpPr>
        <xdr:cNvPr id="45" name="Shape 49">
          <a:extLst>
            <a:ext uri="{FF2B5EF4-FFF2-40B4-BE49-F238E27FC236}">
              <a16:creationId xmlns:a16="http://schemas.microsoft.com/office/drawing/2014/main" id="{54515D8A-CF50-4B44-BE61-757BB105FA48}"/>
            </a:ext>
          </a:extLst>
        </xdr:cNvPr>
        <xdr:cNvSpPr/>
      </xdr:nvSpPr>
      <xdr:spPr>
        <a:xfrm>
          <a:off x="44332359"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46" name="Shape 50">
          <a:extLst>
            <a:ext uri="{FF2B5EF4-FFF2-40B4-BE49-F238E27FC236}">
              <a16:creationId xmlns:a16="http://schemas.microsoft.com/office/drawing/2014/main" id="{FD27A441-95DB-4D8E-BEC9-665E23BF64E9}"/>
            </a:ext>
          </a:extLst>
        </xdr:cNvPr>
        <xdr:cNvSpPr/>
      </xdr:nvSpPr>
      <xdr:spPr>
        <a:xfrm>
          <a:off x="5132599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47" name="Shape 51">
          <a:extLst>
            <a:ext uri="{FF2B5EF4-FFF2-40B4-BE49-F238E27FC236}">
              <a16:creationId xmlns:a16="http://schemas.microsoft.com/office/drawing/2014/main" id="{ABAC35D1-EADC-43AE-A948-5B71ED3919ED}"/>
            </a:ext>
          </a:extLst>
        </xdr:cNvPr>
        <xdr:cNvSpPr/>
      </xdr:nvSpPr>
      <xdr:spPr>
        <a:xfrm>
          <a:off x="309372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48" name="Shape 52">
          <a:extLst>
            <a:ext uri="{FF2B5EF4-FFF2-40B4-BE49-F238E27FC236}">
              <a16:creationId xmlns:a16="http://schemas.microsoft.com/office/drawing/2014/main" id="{AC8180BA-90E5-4A76-907F-FC20A2CFD995}"/>
            </a:ext>
          </a:extLst>
        </xdr:cNvPr>
        <xdr:cNvSpPr/>
      </xdr:nvSpPr>
      <xdr:spPr>
        <a:xfrm>
          <a:off x="373380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019" cy="10795"/>
    <xdr:sp macro="" textlink="">
      <xdr:nvSpPr>
        <xdr:cNvPr id="49" name="Shape 53">
          <a:extLst>
            <a:ext uri="{FF2B5EF4-FFF2-40B4-BE49-F238E27FC236}">
              <a16:creationId xmlns:a16="http://schemas.microsoft.com/office/drawing/2014/main" id="{7FCC2FAB-7621-4A63-9D05-744D4860AF61}"/>
            </a:ext>
          </a:extLst>
        </xdr:cNvPr>
        <xdr:cNvSpPr/>
      </xdr:nvSpPr>
      <xdr:spPr>
        <a:xfrm>
          <a:off x="44272200"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50" name="Shape 54">
          <a:extLst>
            <a:ext uri="{FF2B5EF4-FFF2-40B4-BE49-F238E27FC236}">
              <a16:creationId xmlns:a16="http://schemas.microsoft.com/office/drawing/2014/main" id="{07D2830B-2798-4BA1-B78B-27CC616EC0E2}"/>
            </a:ext>
          </a:extLst>
        </xdr:cNvPr>
        <xdr:cNvSpPr/>
      </xdr:nvSpPr>
      <xdr:spPr>
        <a:xfrm>
          <a:off x="517398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51" name="Shape 55">
          <a:extLst>
            <a:ext uri="{FF2B5EF4-FFF2-40B4-BE49-F238E27FC236}">
              <a16:creationId xmlns:a16="http://schemas.microsoft.com/office/drawing/2014/main" id="{ACF97C4D-6D10-4B1E-872E-0DA05ACD2C61}"/>
            </a:ext>
          </a:extLst>
        </xdr:cNvPr>
        <xdr:cNvSpPr/>
      </xdr:nvSpPr>
      <xdr:spPr>
        <a:xfrm>
          <a:off x="30954853"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52" name="Shape 56">
          <a:extLst>
            <a:ext uri="{FF2B5EF4-FFF2-40B4-BE49-F238E27FC236}">
              <a16:creationId xmlns:a16="http://schemas.microsoft.com/office/drawing/2014/main" id="{406DEBCA-5A36-4A43-B670-F784EBA76258}"/>
            </a:ext>
          </a:extLst>
        </xdr:cNvPr>
        <xdr:cNvSpPr/>
      </xdr:nvSpPr>
      <xdr:spPr>
        <a:xfrm>
          <a:off x="37351842"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019" cy="10795"/>
    <xdr:sp macro="" textlink="">
      <xdr:nvSpPr>
        <xdr:cNvPr id="53" name="Shape 57">
          <a:extLst>
            <a:ext uri="{FF2B5EF4-FFF2-40B4-BE49-F238E27FC236}">
              <a16:creationId xmlns:a16="http://schemas.microsoft.com/office/drawing/2014/main" id="{C7B35C52-F8A5-4FB5-A9E5-5080B6800576}"/>
            </a:ext>
          </a:extLst>
        </xdr:cNvPr>
        <xdr:cNvSpPr/>
      </xdr:nvSpPr>
      <xdr:spPr>
        <a:xfrm>
          <a:off x="44815759"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54" name="Shape 58">
          <a:extLst>
            <a:ext uri="{FF2B5EF4-FFF2-40B4-BE49-F238E27FC236}">
              <a16:creationId xmlns:a16="http://schemas.microsoft.com/office/drawing/2014/main" id="{88E6F4F8-5640-4A12-B96F-8A5DE2BACA19}"/>
            </a:ext>
          </a:extLst>
        </xdr:cNvPr>
        <xdr:cNvSpPr/>
      </xdr:nvSpPr>
      <xdr:spPr>
        <a:xfrm>
          <a:off x="5174589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55" name="Shape 59">
          <a:extLst>
            <a:ext uri="{FF2B5EF4-FFF2-40B4-BE49-F238E27FC236}">
              <a16:creationId xmlns:a16="http://schemas.microsoft.com/office/drawing/2014/main" id="{D7539A3B-DEE8-45F6-B58C-0BFDA1A3BEBA}"/>
            </a:ext>
          </a:extLst>
        </xdr:cNvPr>
        <xdr:cNvSpPr/>
      </xdr:nvSpPr>
      <xdr:spPr>
        <a:xfrm>
          <a:off x="309372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56" name="Shape 60">
          <a:extLst>
            <a:ext uri="{FF2B5EF4-FFF2-40B4-BE49-F238E27FC236}">
              <a16:creationId xmlns:a16="http://schemas.microsoft.com/office/drawing/2014/main" id="{2B341E65-9EB6-4BD6-B2FA-F005568238F6}"/>
            </a:ext>
          </a:extLst>
        </xdr:cNvPr>
        <xdr:cNvSpPr/>
      </xdr:nvSpPr>
      <xdr:spPr>
        <a:xfrm>
          <a:off x="373380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019" cy="10795"/>
    <xdr:sp macro="" textlink="">
      <xdr:nvSpPr>
        <xdr:cNvPr id="57" name="Shape 61">
          <a:extLst>
            <a:ext uri="{FF2B5EF4-FFF2-40B4-BE49-F238E27FC236}">
              <a16:creationId xmlns:a16="http://schemas.microsoft.com/office/drawing/2014/main" id="{CBE10570-02E7-4D75-9443-476310149813}"/>
            </a:ext>
          </a:extLst>
        </xdr:cNvPr>
        <xdr:cNvSpPr/>
      </xdr:nvSpPr>
      <xdr:spPr>
        <a:xfrm>
          <a:off x="44272200"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58" name="Shape 62">
          <a:extLst>
            <a:ext uri="{FF2B5EF4-FFF2-40B4-BE49-F238E27FC236}">
              <a16:creationId xmlns:a16="http://schemas.microsoft.com/office/drawing/2014/main" id="{76AA9E85-BCCC-4A37-B895-57B85610E68E}"/>
            </a:ext>
          </a:extLst>
        </xdr:cNvPr>
        <xdr:cNvSpPr/>
      </xdr:nvSpPr>
      <xdr:spPr>
        <a:xfrm>
          <a:off x="517398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59" name="Shape 63">
          <a:extLst>
            <a:ext uri="{FF2B5EF4-FFF2-40B4-BE49-F238E27FC236}">
              <a16:creationId xmlns:a16="http://schemas.microsoft.com/office/drawing/2014/main" id="{9C01ABD9-1704-4725-B35B-9A51CAFB71B6}"/>
            </a:ext>
          </a:extLst>
        </xdr:cNvPr>
        <xdr:cNvSpPr/>
      </xdr:nvSpPr>
      <xdr:spPr>
        <a:xfrm>
          <a:off x="3046003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60" name="Shape 64">
          <a:extLst>
            <a:ext uri="{FF2B5EF4-FFF2-40B4-BE49-F238E27FC236}">
              <a16:creationId xmlns:a16="http://schemas.microsoft.com/office/drawing/2014/main" id="{A5AD60ED-8076-48D1-9BD8-B238675B5CEE}"/>
            </a:ext>
          </a:extLst>
        </xdr:cNvPr>
        <xdr:cNvSpPr/>
      </xdr:nvSpPr>
      <xdr:spPr>
        <a:xfrm>
          <a:off x="3692052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17</xdr:col>
      <xdr:colOff>0</xdr:colOff>
      <xdr:row>0</xdr:row>
      <xdr:rowOff>0</xdr:rowOff>
    </xdr:from>
    <xdr:ext cx="922019" cy="10795"/>
    <xdr:sp macro="" textlink="">
      <xdr:nvSpPr>
        <xdr:cNvPr id="61" name="Shape 65">
          <a:extLst>
            <a:ext uri="{FF2B5EF4-FFF2-40B4-BE49-F238E27FC236}">
              <a16:creationId xmlns:a16="http://schemas.microsoft.com/office/drawing/2014/main" id="{1FAEA2F1-2E9A-4D18-980D-FBEBCF307879}"/>
            </a:ext>
          </a:extLst>
        </xdr:cNvPr>
        <xdr:cNvSpPr/>
      </xdr:nvSpPr>
      <xdr:spPr>
        <a:xfrm>
          <a:off x="44320942"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17</xdr:col>
      <xdr:colOff>0</xdr:colOff>
      <xdr:row>0</xdr:row>
      <xdr:rowOff>0</xdr:rowOff>
    </xdr:from>
    <xdr:ext cx="922655" cy="10795"/>
    <xdr:sp macro="" textlink="">
      <xdr:nvSpPr>
        <xdr:cNvPr id="62" name="Shape 66">
          <a:extLst>
            <a:ext uri="{FF2B5EF4-FFF2-40B4-BE49-F238E27FC236}">
              <a16:creationId xmlns:a16="http://schemas.microsoft.com/office/drawing/2014/main" id="{2D9126A6-6DC8-4025-B6B2-C0A05B7F0531}"/>
            </a:ext>
          </a:extLst>
        </xdr:cNvPr>
        <xdr:cNvSpPr/>
      </xdr:nvSpPr>
      <xdr:spPr>
        <a:xfrm>
          <a:off x="5131457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absoluteAnchor>
    <xdr:pos x="897127" y="1516357179"/>
    <xdr:ext cx="10768965" cy="11430"/>
    <xdr:grpSp>
      <xdr:nvGrpSpPr>
        <xdr:cNvPr id="182" name="Group 772">
          <a:extLst>
            <a:ext uri="{FF2B5EF4-FFF2-40B4-BE49-F238E27FC236}">
              <a16:creationId xmlns:a16="http://schemas.microsoft.com/office/drawing/2014/main" id="{2B95FA2C-84C3-42F8-AB19-73FA75F05AEC}"/>
            </a:ext>
          </a:extLst>
        </xdr:cNvPr>
        <xdr:cNvGrpSpPr/>
      </xdr:nvGrpSpPr>
      <xdr:grpSpPr>
        <a:xfrm>
          <a:off x="897127" y="1516357179"/>
          <a:ext cx="10768965" cy="11430"/>
          <a:chOff x="0" y="0"/>
          <a:chExt cx="10768965" cy="11430"/>
        </a:xfrm>
      </xdr:grpSpPr>
      <xdr:sp macro="" textlink="">
        <xdr:nvSpPr>
          <xdr:cNvPr id="183" name="Shape 773">
            <a:extLst>
              <a:ext uri="{FF2B5EF4-FFF2-40B4-BE49-F238E27FC236}">
                <a16:creationId xmlns:a16="http://schemas.microsoft.com/office/drawing/2014/main" id="{BB0BEE37-9AA6-7EC1-2DB5-6DFE852A9286}"/>
              </a:ext>
            </a:extLst>
          </xdr:cNvPr>
          <xdr:cNvSpPr/>
        </xdr:nvSpPr>
        <xdr:spPr>
          <a:xfrm>
            <a:off x="952" y="1015"/>
            <a:ext cx="10767060" cy="0"/>
          </a:xfrm>
          <a:custGeom>
            <a:avLst/>
            <a:gdLst/>
            <a:ahLst/>
            <a:cxnLst/>
            <a:rect l="0" t="0" r="0" b="0"/>
            <a:pathLst>
              <a:path w="10767060">
                <a:moveTo>
                  <a:pt x="0" y="0"/>
                </a:moveTo>
                <a:lnTo>
                  <a:pt x="10766742" y="0"/>
                </a:lnTo>
              </a:path>
            </a:pathLst>
          </a:custGeom>
          <a:ln w="3175">
            <a:solidFill>
              <a:srgbClr val="000000"/>
            </a:solidFill>
          </a:ln>
        </xdr:spPr>
      </xdr:sp>
      <xdr:sp macro="" textlink="">
        <xdr:nvSpPr>
          <xdr:cNvPr id="184" name="Shape 774">
            <a:extLst>
              <a:ext uri="{FF2B5EF4-FFF2-40B4-BE49-F238E27FC236}">
                <a16:creationId xmlns:a16="http://schemas.microsoft.com/office/drawing/2014/main" id="{F79305D8-5ECA-A20B-0DDC-611F15192E57}"/>
              </a:ext>
            </a:extLst>
          </xdr:cNvPr>
          <xdr:cNvSpPr/>
        </xdr:nvSpPr>
        <xdr:spPr>
          <a:xfrm>
            <a:off x="0" y="0"/>
            <a:ext cx="10768965" cy="11430"/>
          </a:xfrm>
          <a:custGeom>
            <a:avLst/>
            <a:gdLst/>
            <a:ahLst/>
            <a:cxnLst/>
            <a:rect l="0" t="0" r="0" b="0"/>
            <a:pathLst>
              <a:path w="10768965" h="11430">
                <a:moveTo>
                  <a:pt x="10768584" y="0"/>
                </a:moveTo>
                <a:lnTo>
                  <a:pt x="0" y="0"/>
                </a:lnTo>
                <a:lnTo>
                  <a:pt x="0" y="11429"/>
                </a:lnTo>
                <a:lnTo>
                  <a:pt x="10768584" y="11429"/>
                </a:lnTo>
                <a:lnTo>
                  <a:pt x="10768584" y="0"/>
                </a:lnTo>
                <a:close/>
              </a:path>
            </a:pathLst>
          </a:custGeom>
          <a:solidFill>
            <a:srgbClr val="000000"/>
          </a:solidFill>
        </xdr:spPr>
      </xdr:sp>
    </xdr:grpSp>
    <xdr:clientData/>
  </xdr:absoluteAnchor>
</xdr:wsDr>
</file>

<file path=xl/drawings/drawing3.xml><?xml version="1.0" encoding="utf-8"?>
<xdr:wsDr xmlns:xdr="http://schemas.openxmlformats.org/drawingml/2006/spreadsheetDrawing" xmlns:a="http://schemas.openxmlformats.org/drawingml/2006/main">
  <xdr:oneCellAnchor>
    <xdr:from>
      <xdr:col>9</xdr:col>
      <xdr:colOff>0</xdr:colOff>
      <xdr:row>0</xdr:row>
      <xdr:rowOff>0</xdr:rowOff>
    </xdr:from>
    <xdr:ext cx="1095375" cy="10795"/>
    <xdr:sp macro="" textlink="">
      <xdr:nvSpPr>
        <xdr:cNvPr id="9" name="Shape 17">
          <a:extLst>
            <a:ext uri="{FF2B5EF4-FFF2-40B4-BE49-F238E27FC236}">
              <a16:creationId xmlns:a16="http://schemas.microsoft.com/office/drawing/2014/main" id="{23A2C8CB-2D40-4131-BBED-FBF3C67C13D6}"/>
            </a:ext>
          </a:extLst>
        </xdr:cNvPr>
        <xdr:cNvSpPr/>
      </xdr:nvSpPr>
      <xdr:spPr>
        <a:xfrm>
          <a:off x="2759486"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9</xdr:col>
      <xdr:colOff>0</xdr:colOff>
      <xdr:row>0</xdr:row>
      <xdr:rowOff>0</xdr:rowOff>
    </xdr:from>
    <xdr:ext cx="1095375" cy="10795"/>
    <xdr:sp macro="" textlink="">
      <xdr:nvSpPr>
        <xdr:cNvPr id="50" name="Shape 17">
          <a:extLst>
            <a:ext uri="{FF2B5EF4-FFF2-40B4-BE49-F238E27FC236}">
              <a16:creationId xmlns:a16="http://schemas.microsoft.com/office/drawing/2014/main" id="{610E71A2-89B1-4435-A02F-5EB4C29869E8}"/>
            </a:ext>
          </a:extLst>
        </xdr:cNvPr>
        <xdr:cNvSpPr/>
      </xdr:nvSpPr>
      <xdr:spPr>
        <a:xfrm>
          <a:off x="3292886"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9</xdr:col>
      <xdr:colOff>0</xdr:colOff>
      <xdr:row>0</xdr:row>
      <xdr:rowOff>0</xdr:rowOff>
    </xdr:from>
    <xdr:ext cx="1095375" cy="10795"/>
    <xdr:sp macro="" textlink="">
      <xdr:nvSpPr>
        <xdr:cNvPr id="77" name="Shape 17">
          <a:extLst>
            <a:ext uri="{FF2B5EF4-FFF2-40B4-BE49-F238E27FC236}">
              <a16:creationId xmlns:a16="http://schemas.microsoft.com/office/drawing/2014/main" id="{CF6A22DF-62CC-4944-BEC9-D743860835CC}"/>
            </a:ext>
          </a:extLst>
        </xdr:cNvPr>
        <xdr:cNvSpPr/>
      </xdr:nvSpPr>
      <xdr:spPr>
        <a:xfrm>
          <a:off x="2759486"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9</xdr:col>
      <xdr:colOff>0</xdr:colOff>
      <xdr:row>0</xdr:row>
      <xdr:rowOff>0</xdr:rowOff>
    </xdr:from>
    <xdr:ext cx="1095375" cy="10795"/>
    <xdr:sp macro="" textlink="">
      <xdr:nvSpPr>
        <xdr:cNvPr id="118" name="Shape 17">
          <a:extLst>
            <a:ext uri="{FF2B5EF4-FFF2-40B4-BE49-F238E27FC236}">
              <a16:creationId xmlns:a16="http://schemas.microsoft.com/office/drawing/2014/main" id="{4EA7AB87-1231-4ADE-8429-EF42FB71D6FB}"/>
            </a:ext>
          </a:extLst>
        </xdr:cNvPr>
        <xdr:cNvSpPr/>
      </xdr:nvSpPr>
      <xdr:spPr>
        <a:xfrm>
          <a:off x="3292886"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9</xdr:col>
      <xdr:colOff>0</xdr:colOff>
      <xdr:row>0</xdr:row>
      <xdr:rowOff>0</xdr:rowOff>
    </xdr:from>
    <xdr:ext cx="1095375" cy="10795"/>
    <xdr:sp macro="" textlink="">
      <xdr:nvSpPr>
        <xdr:cNvPr id="311" name="Shape 17">
          <a:extLst>
            <a:ext uri="{FF2B5EF4-FFF2-40B4-BE49-F238E27FC236}">
              <a16:creationId xmlns:a16="http://schemas.microsoft.com/office/drawing/2014/main" id="{5C370896-5F73-454A-8B29-AF5B23C79AD9}"/>
            </a:ext>
          </a:extLst>
        </xdr:cNvPr>
        <xdr:cNvSpPr/>
      </xdr:nvSpPr>
      <xdr:spPr>
        <a:xfrm>
          <a:off x="7753350"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9</xdr:col>
      <xdr:colOff>0</xdr:colOff>
      <xdr:row>0</xdr:row>
      <xdr:rowOff>0</xdr:rowOff>
    </xdr:from>
    <xdr:ext cx="1095375" cy="10795"/>
    <xdr:sp macro="" textlink="">
      <xdr:nvSpPr>
        <xdr:cNvPr id="330" name="Shape 18">
          <a:extLst>
            <a:ext uri="{FF2B5EF4-FFF2-40B4-BE49-F238E27FC236}">
              <a16:creationId xmlns:a16="http://schemas.microsoft.com/office/drawing/2014/main" id="{5092EC09-1AFD-4CCC-8BCC-E6DCDC22D521}"/>
            </a:ext>
          </a:extLst>
        </xdr:cNvPr>
        <xdr:cNvSpPr/>
      </xdr:nvSpPr>
      <xdr:spPr>
        <a:xfrm>
          <a:off x="6789825"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9</xdr:col>
      <xdr:colOff>0</xdr:colOff>
      <xdr:row>0</xdr:row>
      <xdr:rowOff>0</xdr:rowOff>
    </xdr:from>
    <xdr:ext cx="1095375" cy="10795"/>
    <xdr:sp macro="" textlink="">
      <xdr:nvSpPr>
        <xdr:cNvPr id="343" name="Shape 17">
          <a:extLst>
            <a:ext uri="{FF2B5EF4-FFF2-40B4-BE49-F238E27FC236}">
              <a16:creationId xmlns:a16="http://schemas.microsoft.com/office/drawing/2014/main" id="{870BD031-D01E-4216-9258-BFCB280D3CB6}"/>
            </a:ext>
          </a:extLst>
        </xdr:cNvPr>
        <xdr:cNvSpPr/>
      </xdr:nvSpPr>
      <xdr:spPr>
        <a:xfrm>
          <a:off x="7753350"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wsDr>
</file>

<file path=xl/drawings/drawing4.xml><?xml version="1.0" encoding="utf-8"?>
<xdr:wsDr xmlns:xdr="http://schemas.openxmlformats.org/drawingml/2006/spreadsheetDrawing" xmlns:a="http://schemas.openxmlformats.org/drawingml/2006/main">
  <xdr:oneCellAnchor>
    <xdr:from>
      <xdr:col>45</xdr:col>
      <xdr:colOff>0</xdr:colOff>
      <xdr:row>0</xdr:row>
      <xdr:rowOff>0</xdr:rowOff>
    </xdr:from>
    <xdr:ext cx="1024255" cy="12700"/>
    <xdr:grpSp>
      <xdr:nvGrpSpPr>
        <xdr:cNvPr id="2" name="Group 3">
          <a:extLst>
            <a:ext uri="{FF2B5EF4-FFF2-40B4-BE49-F238E27FC236}">
              <a16:creationId xmlns:a16="http://schemas.microsoft.com/office/drawing/2014/main" id="{421D9566-CF31-4C2F-AA36-3BA76834DB60}"/>
            </a:ext>
          </a:extLst>
        </xdr:cNvPr>
        <xdr:cNvGrpSpPr/>
      </xdr:nvGrpSpPr>
      <xdr:grpSpPr>
        <a:xfrm>
          <a:off x="28298775" y="0"/>
          <a:ext cx="1024255" cy="12700"/>
          <a:chOff x="0" y="0"/>
          <a:chExt cx="1024255" cy="12700"/>
        </a:xfrm>
      </xdr:grpSpPr>
      <xdr:sp macro="" textlink="">
        <xdr:nvSpPr>
          <xdr:cNvPr id="3" name="Shape 4">
            <a:extLst>
              <a:ext uri="{FF2B5EF4-FFF2-40B4-BE49-F238E27FC236}">
                <a16:creationId xmlns:a16="http://schemas.microsoft.com/office/drawing/2014/main" id="{D8E1CF83-495B-C2B2-9B15-28E1F409309B}"/>
              </a:ext>
            </a:extLst>
          </xdr:cNvPr>
          <xdr:cNvSpPr/>
        </xdr:nvSpPr>
        <xdr:spPr>
          <a:xfrm>
            <a:off x="761" y="889"/>
            <a:ext cx="1022985" cy="0"/>
          </a:xfrm>
          <a:custGeom>
            <a:avLst/>
            <a:gdLst/>
            <a:ahLst/>
            <a:cxnLst/>
            <a:rect l="0" t="0" r="0" b="0"/>
            <a:pathLst>
              <a:path w="1022985">
                <a:moveTo>
                  <a:pt x="0" y="0"/>
                </a:moveTo>
                <a:lnTo>
                  <a:pt x="1022604" y="0"/>
                </a:lnTo>
              </a:path>
            </a:pathLst>
          </a:custGeom>
          <a:ln w="3175">
            <a:solidFill>
              <a:srgbClr val="000000"/>
            </a:solidFill>
          </a:ln>
        </xdr:spPr>
      </xdr:sp>
      <xdr:sp macro="" textlink="">
        <xdr:nvSpPr>
          <xdr:cNvPr id="4" name="Shape 5">
            <a:extLst>
              <a:ext uri="{FF2B5EF4-FFF2-40B4-BE49-F238E27FC236}">
                <a16:creationId xmlns:a16="http://schemas.microsoft.com/office/drawing/2014/main" id="{3F36627E-5F5A-A0D6-F0C6-0E6C7F7771AD}"/>
              </a:ext>
            </a:extLst>
          </xdr:cNvPr>
          <xdr:cNvSpPr/>
        </xdr:nvSpPr>
        <xdr:spPr>
          <a:xfrm>
            <a:off x="0" y="126"/>
            <a:ext cx="1024255" cy="12700"/>
          </a:xfrm>
          <a:custGeom>
            <a:avLst/>
            <a:gdLst/>
            <a:ahLst/>
            <a:cxnLst/>
            <a:rect l="0" t="0" r="0" b="0"/>
            <a:pathLst>
              <a:path w="1024255" h="12700">
                <a:moveTo>
                  <a:pt x="1024128" y="0"/>
                </a:moveTo>
                <a:lnTo>
                  <a:pt x="0" y="0"/>
                </a:lnTo>
                <a:lnTo>
                  <a:pt x="0" y="12191"/>
                </a:lnTo>
                <a:lnTo>
                  <a:pt x="1024128" y="12191"/>
                </a:lnTo>
                <a:lnTo>
                  <a:pt x="1024128" y="0"/>
                </a:lnTo>
                <a:close/>
              </a:path>
            </a:pathLst>
          </a:custGeom>
          <a:solidFill>
            <a:srgbClr val="000000"/>
          </a:solidFill>
        </xdr:spPr>
      </xdr:sp>
    </xdr:grpSp>
    <xdr:clientData/>
  </xdr:oneCellAnchor>
  <xdr:oneCellAnchor>
    <xdr:from>
      <xdr:col>56</xdr:col>
      <xdr:colOff>0</xdr:colOff>
      <xdr:row>0</xdr:row>
      <xdr:rowOff>0</xdr:rowOff>
    </xdr:from>
    <xdr:ext cx="1024255" cy="12700"/>
    <xdr:grpSp>
      <xdr:nvGrpSpPr>
        <xdr:cNvPr id="5" name="Group 6">
          <a:extLst>
            <a:ext uri="{FF2B5EF4-FFF2-40B4-BE49-F238E27FC236}">
              <a16:creationId xmlns:a16="http://schemas.microsoft.com/office/drawing/2014/main" id="{7522F515-71BC-4F76-A5EA-8B0C1DED4B66}"/>
            </a:ext>
          </a:extLst>
        </xdr:cNvPr>
        <xdr:cNvGrpSpPr/>
      </xdr:nvGrpSpPr>
      <xdr:grpSpPr>
        <a:xfrm>
          <a:off x="34166175" y="0"/>
          <a:ext cx="1024255" cy="12700"/>
          <a:chOff x="0" y="0"/>
          <a:chExt cx="1024255" cy="12700"/>
        </a:xfrm>
      </xdr:grpSpPr>
      <xdr:sp macro="" textlink="">
        <xdr:nvSpPr>
          <xdr:cNvPr id="6" name="Shape 7">
            <a:extLst>
              <a:ext uri="{FF2B5EF4-FFF2-40B4-BE49-F238E27FC236}">
                <a16:creationId xmlns:a16="http://schemas.microsoft.com/office/drawing/2014/main" id="{762D3DA3-9BA4-541A-66B6-A0C90A7A1224}"/>
              </a:ext>
            </a:extLst>
          </xdr:cNvPr>
          <xdr:cNvSpPr/>
        </xdr:nvSpPr>
        <xdr:spPr>
          <a:xfrm>
            <a:off x="761" y="889"/>
            <a:ext cx="1022985" cy="0"/>
          </a:xfrm>
          <a:custGeom>
            <a:avLst/>
            <a:gdLst/>
            <a:ahLst/>
            <a:cxnLst/>
            <a:rect l="0" t="0" r="0" b="0"/>
            <a:pathLst>
              <a:path w="1022985">
                <a:moveTo>
                  <a:pt x="0" y="0"/>
                </a:moveTo>
                <a:lnTo>
                  <a:pt x="1022604" y="0"/>
                </a:lnTo>
              </a:path>
            </a:pathLst>
          </a:custGeom>
          <a:ln w="3175">
            <a:solidFill>
              <a:srgbClr val="000000"/>
            </a:solidFill>
          </a:ln>
        </xdr:spPr>
      </xdr:sp>
      <xdr:sp macro="" textlink="">
        <xdr:nvSpPr>
          <xdr:cNvPr id="7" name="Shape 8">
            <a:extLst>
              <a:ext uri="{FF2B5EF4-FFF2-40B4-BE49-F238E27FC236}">
                <a16:creationId xmlns:a16="http://schemas.microsoft.com/office/drawing/2014/main" id="{BF1B1E7D-B0FC-9228-779B-7EA0BCF5D03C}"/>
              </a:ext>
            </a:extLst>
          </xdr:cNvPr>
          <xdr:cNvSpPr/>
        </xdr:nvSpPr>
        <xdr:spPr>
          <a:xfrm>
            <a:off x="0" y="126"/>
            <a:ext cx="1024255" cy="12700"/>
          </a:xfrm>
          <a:custGeom>
            <a:avLst/>
            <a:gdLst/>
            <a:ahLst/>
            <a:cxnLst/>
            <a:rect l="0" t="0" r="0" b="0"/>
            <a:pathLst>
              <a:path w="1024255" h="12700">
                <a:moveTo>
                  <a:pt x="1024128" y="0"/>
                </a:moveTo>
                <a:lnTo>
                  <a:pt x="0" y="0"/>
                </a:lnTo>
                <a:lnTo>
                  <a:pt x="0" y="12191"/>
                </a:lnTo>
                <a:lnTo>
                  <a:pt x="1024128" y="12191"/>
                </a:lnTo>
                <a:lnTo>
                  <a:pt x="1024128" y="0"/>
                </a:lnTo>
                <a:close/>
              </a:path>
            </a:pathLst>
          </a:custGeom>
          <a:solidFill>
            <a:srgbClr val="000000"/>
          </a:solidFill>
        </xdr:spPr>
      </xdr:sp>
    </xdr:grpSp>
    <xdr:clientData/>
  </xdr:oneCellAnchor>
  <xdr:oneCellAnchor>
    <xdr:from>
      <xdr:col>68</xdr:col>
      <xdr:colOff>8590</xdr:colOff>
      <xdr:row>0</xdr:row>
      <xdr:rowOff>0</xdr:rowOff>
    </xdr:from>
    <xdr:ext cx="1143000" cy="10795"/>
    <xdr:sp macro="" textlink="">
      <xdr:nvSpPr>
        <xdr:cNvPr id="15" name="Shape 16">
          <a:extLst>
            <a:ext uri="{FF2B5EF4-FFF2-40B4-BE49-F238E27FC236}">
              <a16:creationId xmlns:a16="http://schemas.microsoft.com/office/drawing/2014/main" id="{93380940-3674-4732-9844-E0C37D47748C}"/>
            </a:ext>
          </a:extLst>
        </xdr:cNvPr>
        <xdr:cNvSpPr/>
      </xdr:nvSpPr>
      <xdr:spPr>
        <a:xfrm>
          <a:off x="40899415" y="0"/>
          <a:ext cx="1143000" cy="10795"/>
        </a:xfrm>
        <a:custGeom>
          <a:avLst/>
          <a:gdLst/>
          <a:ahLst/>
          <a:cxnLst/>
          <a:rect l="0" t="0" r="0" b="0"/>
          <a:pathLst>
            <a:path w="1143000" h="10795">
              <a:moveTo>
                <a:pt x="1143000" y="0"/>
              </a:moveTo>
              <a:lnTo>
                <a:pt x="0" y="0"/>
              </a:lnTo>
              <a:lnTo>
                <a:pt x="0" y="10579"/>
              </a:lnTo>
              <a:lnTo>
                <a:pt x="1143000" y="10579"/>
              </a:lnTo>
              <a:lnTo>
                <a:pt x="1143000" y="0"/>
              </a:lnTo>
              <a:close/>
            </a:path>
          </a:pathLst>
        </a:custGeom>
        <a:solidFill>
          <a:srgbClr val="000000"/>
        </a:solidFill>
      </xdr:spPr>
    </xdr:sp>
    <xdr:clientData/>
  </xdr:oneCellAnchor>
  <xdr:oneCellAnchor>
    <xdr:from>
      <xdr:col>41</xdr:col>
      <xdr:colOff>8025</xdr:colOff>
      <xdr:row>0</xdr:row>
      <xdr:rowOff>0</xdr:rowOff>
    </xdr:from>
    <xdr:ext cx="1095375" cy="10795"/>
    <xdr:sp macro="" textlink="">
      <xdr:nvSpPr>
        <xdr:cNvPr id="17" name="Shape 18">
          <a:extLst>
            <a:ext uri="{FF2B5EF4-FFF2-40B4-BE49-F238E27FC236}">
              <a16:creationId xmlns:a16="http://schemas.microsoft.com/office/drawing/2014/main" id="{6B61C129-614C-4F72-9AC3-E68367827B93}"/>
            </a:ext>
          </a:extLst>
        </xdr:cNvPr>
        <xdr:cNvSpPr/>
      </xdr:nvSpPr>
      <xdr:spPr>
        <a:xfrm>
          <a:off x="26497050"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54</xdr:col>
      <xdr:colOff>55778</xdr:colOff>
      <xdr:row>0</xdr:row>
      <xdr:rowOff>0</xdr:rowOff>
    </xdr:from>
    <xdr:ext cx="922655" cy="10795"/>
    <xdr:sp macro="" textlink="">
      <xdr:nvSpPr>
        <xdr:cNvPr id="31" name="Shape 35">
          <a:extLst>
            <a:ext uri="{FF2B5EF4-FFF2-40B4-BE49-F238E27FC236}">
              <a16:creationId xmlns:a16="http://schemas.microsoft.com/office/drawing/2014/main" id="{114FEEB7-985E-4574-A312-98E24698C370}"/>
            </a:ext>
          </a:extLst>
        </xdr:cNvPr>
        <xdr:cNvSpPr/>
      </xdr:nvSpPr>
      <xdr:spPr>
        <a:xfrm>
          <a:off x="33479003"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66</xdr:col>
      <xdr:colOff>115468</xdr:colOff>
      <xdr:row>0</xdr:row>
      <xdr:rowOff>0</xdr:rowOff>
    </xdr:from>
    <xdr:ext cx="922655" cy="10795"/>
    <xdr:sp macro="" textlink="">
      <xdr:nvSpPr>
        <xdr:cNvPr id="32" name="Shape 36">
          <a:extLst>
            <a:ext uri="{FF2B5EF4-FFF2-40B4-BE49-F238E27FC236}">
              <a16:creationId xmlns:a16="http://schemas.microsoft.com/office/drawing/2014/main" id="{85B29A9C-6D80-4D6E-B9C0-8F74950CEC7E}"/>
            </a:ext>
          </a:extLst>
        </xdr:cNvPr>
        <xdr:cNvSpPr/>
      </xdr:nvSpPr>
      <xdr:spPr>
        <a:xfrm>
          <a:off x="39939493"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80</xdr:col>
      <xdr:colOff>48285</xdr:colOff>
      <xdr:row>0</xdr:row>
      <xdr:rowOff>0</xdr:rowOff>
    </xdr:from>
    <xdr:ext cx="922019" cy="10795"/>
    <xdr:sp macro="" textlink="">
      <xdr:nvSpPr>
        <xdr:cNvPr id="33" name="Shape 37">
          <a:extLst>
            <a:ext uri="{FF2B5EF4-FFF2-40B4-BE49-F238E27FC236}">
              <a16:creationId xmlns:a16="http://schemas.microsoft.com/office/drawing/2014/main" id="{3CE645BD-DE13-42C9-A01F-D267A6AF3C02}"/>
            </a:ext>
          </a:extLst>
        </xdr:cNvPr>
        <xdr:cNvSpPr/>
      </xdr:nvSpPr>
      <xdr:spPr>
        <a:xfrm>
          <a:off x="47339910"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93</xdr:col>
      <xdr:colOff>107721</xdr:colOff>
      <xdr:row>0</xdr:row>
      <xdr:rowOff>0</xdr:rowOff>
    </xdr:from>
    <xdr:ext cx="922655" cy="10795"/>
    <xdr:sp macro="" textlink="">
      <xdr:nvSpPr>
        <xdr:cNvPr id="34" name="Shape 38">
          <a:extLst>
            <a:ext uri="{FF2B5EF4-FFF2-40B4-BE49-F238E27FC236}">
              <a16:creationId xmlns:a16="http://schemas.microsoft.com/office/drawing/2014/main" id="{DD32184D-E35B-4305-A458-E5274F04C2C4}"/>
            </a:ext>
          </a:extLst>
        </xdr:cNvPr>
        <xdr:cNvSpPr/>
      </xdr:nvSpPr>
      <xdr:spPr>
        <a:xfrm>
          <a:off x="54333546"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54</xdr:col>
      <xdr:colOff>4698</xdr:colOff>
      <xdr:row>0</xdr:row>
      <xdr:rowOff>0</xdr:rowOff>
    </xdr:from>
    <xdr:ext cx="922655" cy="10795"/>
    <xdr:sp macro="" textlink="">
      <xdr:nvSpPr>
        <xdr:cNvPr id="35" name="Shape 39">
          <a:extLst>
            <a:ext uri="{FF2B5EF4-FFF2-40B4-BE49-F238E27FC236}">
              <a16:creationId xmlns:a16="http://schemas.microsoft.com/office/drawing/2014/main" id="{16DCE3E4-FDAB-4F27-9DE0-305637C75934}"/>
            </a:ext>
          </a:extLst>
        </xdr:cNvPr>
        <xdr:cNvSpPr/>
      </xdr:nvSpPr>
      <xdr:spPr>
        <a:xfrm>
          <a:off x="33427923"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66</xdr:col>
      <xdr:colOff>64389</xdr:colOff>
      <xdr:row>0</xdr:row>
      <xdr:rowOff>0</xdr:rowOff>
    </xdr:from>
    <xdr:ext cx="922655" cy="10795"/>
    <xdr:sp macro="" textlink="">
      <xdr:nvSpPr>
        <xdr:cNvPr id="36" name="Shape 40">
          <a:extLst>
            <a:ext uri="{FF2B5EF4-FFF2-40B4-BE49-F238E27FC236}">
              <a16:creationId xmlns:a16="http://schemas.microsoft.com/office/drawing/2014/main" id="{EE7F94A7-9EC7-47C7-AD80-F251FC036F96}"/>
            </a:ext>
          </a:extLst>
        </xdr:cNvPr>
        <xdr:cNvSpPr/>
      </xdr:nvSpPr>
      <xdr:spPr>
        <a:xfrm>
          <a:off x="39888414"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79</xdr:col>
      <xdr:colOff>60706</xdr:colOff>
      <xdr:row>0</xdr:row>
      <xdr:rowOff>0</xdr:rowOff>
    </xdr:from>
    <xdr:ext cx="922019" cy="10795"/>
    <xdr:sp macro="" textlink="">
      <xdr:nvSpPr>
        <xdr:cNvPr id="37" name="Shape 41">
          <a:extLst>
            <a:ext uri="{FF2B5EF4-FFF2-40B4-BE49-F238E27FC236}">
              <a16:creationId xmlns:a16="http://schemas.microsoft.com/office/drawing/2014/main" id="{6BAB1815-6FE2-46B5-954C-1ECE035E8F93}"/>
            </a:ext>
          </a:extLst>
        </xdr:cNvPr>
        <xdr:cNvSpPr/>
      </xdr:nvSpPr>
      <xdr:spPr>
        <a:xfrm>
          <a:off x="46818931"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93</xdr:col>
      <xdr:colOff>56641</xdr:colOff>
      <xdr:row>0</xdr:row>
      <xdr:rowOff>0</xdr:rowOff>
    </xdr:from>
    <xdr:ext cx="922655" cy="10795"/>
    <xdr:sp macro="" textlink="">
      <xdr:nvSpPr>
        <xdr:cNvPr id="38" name="Shape 42">
          <a:extLst>
            <a:ext uri="{FF2B5EF4-FFF2-40B4-BE49-F238E27FC236}">
              <a16:creationId xmlns:a16="http://schemas.microsoft.com/office/drawing/2014/main" id="{5549220C-99B9-473F-971C-3DD2499996B3}"/>
            </a:ext>
          </a:extLst>
        </xdr:cNvPr>
        <xdr:cNvSpPr/>
      </xdr:nvSpPr>
      <xdr:spPr>
        <a:xfrm>
          <a:off x="54282466"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55</xdr:col>
      <xdr:colOff>3134</xdr:colOff>
      <xdr:row>0</xdr:row>
      <xdr:rowOff>0</xdr:rowOff>
    </xdr:from>
    <xdr:ext cx="922655" cy="10795"/>
    <xdr:sp macro="" textlink="">
      <xdr:nvSpPr>
        <xdr:cNvPr id="39" name="Shape 43">
          <a:extLst>
            <a:ext uri="{FF2B5EF4-FFF2-40B4-BE49-F238E27FC236}">
              <a16:creationId xmlns:a16="http://schemas.microsoft.com/office/drawing/2014/main" id="{473E7643-9AC1-4F3F-BD46-E5F669A59F99}"/>
            </a:ext>
          </a:extLst>
        </xdr:cNvPr>
        <xdr:cNvSpPr/>
      </xdr:nvSpPr>
      <xdr:spPr>
        <a:xfrm>
          <a:off x="33959759"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66</xdr:col>
      <xdr:colOff>126324</xdr:colOff>
      <xdr:row>0</xdr:row>
      <xdr:rowOff>0</xdr:rowOff>
    </xdr:from>
    <xdr:ext cx="922655" cy="10795"/>
    <xdr:sp macro="" textlink="">
      <xdr:nvSpPr>
        <xdr:cNvPr id="40" name="Shape 44">
          <a:extLst>
            <a:ext uri="{FF2B5EF4-FFF2-40B4-BE49-F238E27FC236}">
              <a16:creationId xmlns:a16="http://schemas.microsoft.com/office/drawing/2014/main" id="{13984918-A4A6-4815-9695-5169F1EF0515}"/>
            </a:ext>
          </a:extLst>
        </xdr:cNvPr>
        <xdr:cNvSpPr/>
      </xdr:nvSpPr>
      <xdr:spPr>
        <a:xfrm>
          <a:off x="39950349"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80</xdr:col>
      <xdr:colOff>31367</xdr:colOff>
      <xdr:row>0</xdr:row>
      <xdr:rowOff>0</xdr:rowOff>
    </xdr:from>
    <xdr:ext cx="922019" cy="10795"/>
    <xdr:sp macro="" textlink="">
      <xdr:nvSpPr>
        <xdr:cNvPr id="41" name="Shape 45">
          <a:extLst>
            <a:ext uri="{FF2B5EF4-FFF2-40B4-BE49-F238E27FC236}">
              <a16:creationId xmlns:a16="http://schemas.microsoft.com/office/drawing/2014/main" id="{B1388D62-1860-414E-A8B1-285222C800FE}"/>
            </a:ext>
          </a:extLst>
        </xdr:cNvPr>
        <xdr:cNvSpPr/>
      </xdr:nvSpPr>
      <xdr:spPr>
        <a:xfrm>
          <a:off x="47322992"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93</xdr:col>
      <xdr:colOff>89916</xdr:colOff>
      <xdr:row>0</xdr:row>
      <xdr:rowOff>0</xdr:rowOff>
    </xdr:from>
    <xdr:ext cx="922655" cy="10795"/>
    <xdr:sp macro="" textlink="">
      <xdr:nvSpPr>
        <xdr:cNvPr id="42" name="Shape 46">
          <a:extLst>
            <a:ext uri="{FF2B5EF4-FFF2-40B4-BE49-F238E27FC236}">
              <a16:creationId xmlns:a16="http://schemas.microsoft.com/office/drawing/2014/main" id="{F9A717C2-C9AC-4A9D-B286-16161B89EA5B}"/>
            </a:ext>
          </a:extLst>
        </xdr:cNvPr>
        <xdr:cNvSpPr/>
      </xdr:nvSpPr>
      <xdr:spPr>
        <a:xfrm>
          <a:off x="54315741"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55</xdr:col>
      <xdr:colOff>4152</xdr:colOff>
      <xdr:row>0</xdr:row>
      <xdr:rowOff>0</xdr:rowOff>
    </xdr:from>
    <xdr:ext cx="922655" cy="10795"/>
    <xdr:sp macro="" textlink="">
      <xdr:nvSpPr>
        <xdr:cNvPr id="43" name="Shape 47">
          <a:extLst>
            <a:ext uri="{FF2B5EF4-FFF2-40B4-BE49-F238E27FC236}">
              <a16:creationId xmlns:a16="http://schemas.microsoft.com/office/drawing/2014/main" id="{E0F02258-1A37-4A42-A658-82282A138631}"/>
            </a:ext>
          </a:extLst>
        </xdr:cNvPr>
        <xdr:cNvSpPr/>
      </xdr:nvSpPr>
      <xdr:spPr>
        <a:xfrm>
          <a:off x="33960777"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67</xdr:col>
      <xdr:colOff>343</xdr:colOff>
      <xdr:row>0</xdr:row>
      <xdr:rowOff>0</xdr:rowOff>
    </xdr:from>
    <xdr:ext cx="922655" cy="10795"/>
    <xdr:sp macro="" textlink="">
      <xdr:nvSpPr>
        <xdr:cNvPr id="44" name="Shape 48">
          <a:extLst>
            <a:ext uri="{FF2B5EF4-FFF2-40B4-BE49-F238E27FC236}">
              <a16:creationId xmlns:a16="http://schemas.microsoft.com/office/drawing/2014/main" id="{C353EBB3-9B7B-484B-9D80-50B25355E06F}"/>
            </a:ext>
          </a:extLst>
        </xdr:cNvPr>
        <xdr:cNvSpPr/>
      </xdr:nvSpPr>
      <xdr:spPr>
        <a:xfrm>
          <a:off x="4035776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80</xdr:col>
      <xdr:colOff>60159</xdr:colOff>
      <xdr:row>0</xdr:row>
      <xdr:rowOff>0</xdr:rowOff>
    </xdr:from>
    <xdr:ext cx="922019" cy="10795"/>
    <xdr:sp macro="" textlink="">
      <xdr:nvSpPr>
        <xdr:cNvPr id="45" name="Shape 49">
          <a:extLst>
            <a:ext uri="{FF2B5EF4-FFF2-40B4-BE49-F238E27FC236}">
              <a16:creationId xmlns:a16="http://schemas.microsoft.com/office/drawing/2014/main" id="{F73983EC-EA10-46D0-9B3D-6624F5619942}"/>
            </a:ext>
          </a:extLst>
        </xdr:cNvPr>
        <xdr:cNvSpPr/>
      </xdr:nvSpPr>
      <xdr:spPr>
        <a:xfrm>
          <a:off x="47351784"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93</xdr:col>
      <xdr:colOff>119595</xdr:colOff>
      <xdr:row>0</xdr:row>
      <xdr:rowOff>0</xdr:rowOff>
    </xdr:from>
    <xdr:ext cx="922655" cy="10795"/>
    <xdr:sp macro="" textlink="">
      <xdr:nvSpPr>
        <xdr:cNvPr id="46" name="Shape 50">
          <a:extLst>
            <a:ext uri="{FF2B5EF4-FFF2-40B4-BE49-F238E27FC236}">
              <a16:creationId xmlns:a16="http://schemas.microsoft.com/office/drawing/2014/main" id="{1E783A8F-270A-4D50-9097-AD63ECCDBD35}"/>
            </a:ext>
          </a:extLst>
        </xdr:cNvPr>
        <xdr:cNvSpPr/>
      </xdr:nvSpPr>
      <xdr:spPr>
        <a:xfrm>
          <a:off x="5434542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55</xdr:col>
      <xdr:colOff>0</xdr:colOff>
      <xdr:row>0</xdr:row>
      <xdr:rowOff>0</xdr:rowOff>
    </xdr:from>
    <xdr:ext cx="922655" cy="10795"/>
    <xdr:sp macro="" textlink="">
      <xdr:nvSpPr>
        <xdr:cNvPr id="47" name="Shape 51">
          <a:extLst>
            <a:ext uri="{FF2B5EF4-FFF2-40B4-BE49-F238E27FC236}">
              <a16:creationId xmlns:a16="http://schemas.microsoft.com/office/drawing/2014/main" id="{BC43F76B-D800-41B2-B206-B1A18601410B}"/>
            </a:ext>
          </a:extLst>
        </xdr:cNvPr>
        <xdr:cNvSpPr/>
      </xdr:nvSpPr>
      <xdr:spPr>
        <a:xfrm>
          <a:off x="3395662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67</xdr:col>
      <xdr:colOff>0</xdr:colOff>
      <xdr:row>0</xdr:row>
      <xdr:rowOff>0</xdr:rowOff>
    </xdr:from>
    <xdr:ext cx="922655" cy="10795"/>
    <xdr:sp macro="" textlink="">
      <xdr:nvSpPr>
        <xdr:cNvPr id="48" name="Shape 52">
          <a:extLst>
            <a:ext uri="{FF2B5EF4-FFF2-40B4-BE49-F238E27FC236}">
              <a16:creationId xmlns:a16="http://schemas.microsoft.com/office/drawing/2014/main" id="{EDD906CE-3641-4D58-8EEE-F03244CE56C6}"/>
            </a:ext>
          </a:extLst>
        </xdr:cNvPr>
        <xdr:cNvSpPr/>
      </xdr:nvSpPr>
      <xdr:spPr>
        <a:xfrm>
          <a:off x="4035742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80</xdr:col>
      <xdr:colOff>0</xdr:colOff>
      <xdr:row>0</xdr:row>
      <xdr:rowOff>0</xdr:rowOff>
    </xdr:from>
    <xdr:ext cx="922019" cy="10795"/>
    <xdr:sp macro="" textlink="">
      <xdr:nvSpPr>
        <xdr:cNvPr id="49" name="Shape 53">
          <a:extLst>
            <a:ext uri="{FF2B5EF4-FFF2-40B4-BE49-F238E27FC236}">
              <a16:creationId xmlns:a16="http://schemas.microsoft.com/office/drawing/2014/main" id="{93F59FA1-AF29-4074-ACF0-93F064E4EBE5}"/>
            </a:ext>
          </a:extLst>
        </xdr:cNvPr>
        <xdr:cNvSpPr/>
      </xdr:nvSpPr>
      <xdr:spPr>
        <a:xfrm>
          <a:off x="47291625"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94</xdr:col>
      <xdr:colOff>0</xdr:colOff>
      <xdr:row>0</xdr:row>
      <xdr:rowOff>0</xdr:rowOff>
    </xdr:from>
    <xdr:ext cx="922655" cy="10795"/>
    <xdr:sp macro="" textlink="">
      <xdr:nvSpPr>
        <xdr:cNvPr id="50" name="Shape 54">
          <a:extLst>
            <a:ext uri="{FF2B5EF4-FFF2-40B4-BE49-F238E27FC236}">
              <a16:creationId xmlns:a16="http://schemas.microsoft.com/office/drawing/2014/main" id="{237EAEAB-B564-4A79-BCD2-B17E3E0BC625}"/>
            </a:ext>
          </a:extLst>
        </xdr:cNvPr>
        <xdr:cNvSpPr/>
      </xdr:nvSpPr>
      <xdr:spPr>
        <a:xfrm>
          <a:off x="5475922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55</xdr:col>
      <xdr:colOff>17653</xdr:colOff>
      <xdr:row>0</xdr:row>
      <xdr:rowOff>0</xdr:rowOff>
    </xdr:from>
    <xdr:ext cx="922655" cy="10795"/>
    <xdr:sp macro="" textlink="">
      <xdr:nvSpPr>
        <xdr:cNvPr id="51" name="Shape 55">
          <a:extLst>
            <a:ext uri="{FF2B5EF4-FFF2-40B4-BE49-F238E27FC236}">
              <a16:creationId xmlns:a16="http://schemas.microsoft.com/office/drawing/2014/main" id="{6A52879B-481F-4261-8550-B01E9DC57EB8}"/>
            </a:ext>
          </a:extLst>
        </xdr:cNvPr>
        <xdr:cNvSpPr/>
      </xdr:nvSpPr>
      <xdr:spPr>
        <a:xfrm>
          <a:off x="3397427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67</xdr:col>
      <xdr:colOff>13842</xdr:colOff>
      <xdr:row>0</xdr:row>
      <xdr:rowOff>0</xdr:rowOff>
    </xdr:from>
    <xdr:ext cx="922655" cy="10795"/>
    <xdr:sp macro="" textlink="">
      <xdr:nvSpPr>
        <xdr:cNvPr id="52" name="Shape 56">
          <a:extLst>
            <a:ext uri="{FF2B5EF4-FFF2-40B4-BE49-F238E27FC236}">
              <a16:creationId xmlns:a16="http://schemas.microsoft.com/office/drawing/2014/main" id="{CEC76338-0966-45C9-9881-381C958DA8EB}"/>
            </a:ext>
          </a:extLst>
        </xdr:cNvPr>
        <xdr:cNvSpPr/>
      </xdr:nvSpPr>
      <xdr:spPr>
        <a:xfrm>
          <a:off x="40371267"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81</xdr:col>
      <xdr:colOff>10159</xdr:colOff>
      <xdr:row>0</xdr:row>
      <xdr:rowOff>0</xdr:rowOff>
    </xdr:from>
    <xdr:ext cx="922019" cy="10795"/>
    <xdr:sp macro="" textlink="">
      <xdr:nvSpPr>
        <xdr:cNvPr id="53" name="Shape 57">
          <a:extLst>
            <a:ext uri="{FF2B5EF4-FFF2-40B4-BE49-F238E27FC236}">
              <a16:creationId xmlns:a16="http://schemas.microsoft.com/office/drawing/2014/main" id="{8950AA46-1BFB-479E-A49D-4857AC51C7E8}"/>
            </a:ext>
          </a:extLst>
        </xdr:cNvPr>
        <xdr:cNvSpPr/>
      </xdr:nvSpPr>
      <xdr:spPr>
        <a:xfrm>
          <a:off x="47835184"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94</xdr:col>
      <xdr:colOff>6095</xdr:colOff>
      <xdr:row>0</xdr:row>
      <xdr:rowOff>0</xdr:rowOff>
    </xdr:from>
    <xdr:ext cx="922655" cy="10795"/>
    <xdr:sp macro="" textlink="">
      <xdr:nvSpPr>
        <xdr:cNvPr id="54" name="Shape 58">
          <a:extLst>
            <a:ext uri="{FF2B5EF4-FFF2-40B4-BE49-F238E27FC236}">
              <a16:creationId xmlns:a16="http://schemas.microsoft.com/office/drawing/2014/main" id="{DF1836D5-934C-4A91-A388-9DD7B8481C31}"/>
            </a:ext>
          </a:extLst>
        </xdr:cNvPr>
        <xdr:cNvSpPr/>
      </xdr:nvSpPr>
      <xdr:spPr>
        <a:xfrm>
          <a:off x="5476532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55</xdr:col>
      <xdr:colOff>0</xdr:colOff>
      <xdr:row>0</xdr:row>
      <xdr:rowOff>0</xdr:rowOff>
    </xdr:from>
    <xdr:ext cx="922655" cy="10795"/>
    <xdr:sp macro="" textlink="">
      <xdr:nvSpPr>
        <xdr:cNvPr id="55" name="Shape 59">
          <a:extLst>
            <a:ext uri="{FF2B5EF4-FFF2-40B4-BE49-F238E27FC236}">
              <a16:creationId xmlns:a16="http://schemas.microsoft.com/office/drawing/2014/main" id="{1588FEAC-7950-4549-BE5B-B66832999D7B}"/>
            </a:ext>
          </a:extLst>
        </xdr:cNvPr>
        <xdr:cNvSpPr/>
      </xdr:nvSpPr>
      <xdr:spPr>
        <a:xfrm>
          <a:off x="3395662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67</xdr:col>
      <xdr:colOff>0</xdr:colOff>
      <xdr:row>0</xdr:row>
      <xdr:rowOff>0</xdr:rowOff>
    </xdr:from>
    <xdr:ext cx="922655" cy="10795"/>
    <xdr:sp macro="" textlink="">
      <xdr:nvSpPr>
        <xdr:cNvPr id="56" name="Shape 60">
          <a:extLst>
            <a:ext uri="{FF2B5EF4-FFF2-40B4-BE49-F238E27FC236}">
              <a16:creationId xmlns:a16="http://schemas.microsoft.com/office/drawing/2014/main" id="{5AF48EDB-FAA1-4E6A-BF2B-9CB1F3363CF3}"/>
            </a:ext>
          </a:extLst>
        </xdr:cNvPr>
        <xdr:cNvSpPr/>
      </xdr:nvSpPr>
      <xdr:spPr>
        <a:xfrm>
          <a:off x="4035742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80</xdr:col>
      <xdr:colOff>0</xdr:colOff>
      <xdr:row>0</xdr:row>
      <xdr:rowOff>0</xdr:rowOff>
    </xdr:from>
    <xdr:ext cx="922019" cy="10795"/>
    <xdr:sp macro="" textlink="">
      <xdr:nvSpPr>
        <xdr:cNvPr id="57" name="Shape 61">
          <a:extLst>
            <a:ext uri="{FF2B5EF4-FFF2-40B4-BE49-F238E27FC236}">
              <a16:creationId xmlns:a16="http://schemas.microsoft.com/office/drawing/2014/main" id="{7E60AD69-CA91-4E53-AF38-9CDDEC6B077E}"/>
            </a:ext>
          </a:extLst>
        </xdr:cNvPr>
        <xdr:cNvSpPr/>
      </xdr:nvSpPr>
      <xdr:spPr>
        <a:xfrm>
          <a:off x="47291625"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94</xdr:col>
      <xdr:colOff>0</xdr:colOff>
      <xdr:row>0</xdr:row>
      <xdr:rowOff>0</xdr:rowOff>
    </xdr:from>
    <xdr:ext cx="922655" cy="10795"/>
    <xdr:sp macro="" textlink="">
      <xdr:nvSpPr>
        <xdr:cNvPr id="58" name="Shape 62">
          <a:extLst>
            <a:ext uri="{FF2B5EF4-FFF2-40B4-BE49-F238E27FC236}">
              <a16:creationId xmlns:a16="http://schemas.microsoft.com/office/drawing/2014/main" id="{2AB74D17-CB33-416B-BEB7-ED61CBD812B5}"/>
            </a:ext>
          </a:extLst>
        </xdr:cNvPr>
        <xdr:cNvSpPr/>
      </xdr:nvSpPr>
      <xdr:spPr>
        <a:xfrm>
          <a:off x="5475922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54</xdr:col>
      <xdr:colOff>56235</xdr:colOff>
      <xdr:row>0</xdr:row>
      <xdr:rowOff>0</xdr:rowOff>
    </xdr:from>
    <xdr:ext cx="922655" cy="10795"/>
    <xdr:sp macro="" textlink="">
      <xdr:nvSpPr>
        <xdr:cNvPr id="59" name="Shape 63">
          <a:extLst>
            <a:ext uri="{FF2B5EF4-FFF2-40B4-BE49-F238E27FC236}">
              <a16:creationId xmlns:a16="http://schemas.microsoft.com/office/drawing/2014/main" id="{89D72ADB-24B7-4AF5-BBCD-F6211DFFCBC0}"/>
            </a:ext>
          </a:extLst>
        </xdr:cNvPr>
        <xdr:cNvSpPr/>
      </xdr:nvSpPr>
      <xdr:spPr>
        <a:xfrm>
          <a:off x="3347946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66</xdr:col>
      <xdr:colOff>115925</xdr:colOff>
      <xdr:row>0</xdr:row>
      <xdr:rowOff>0</xdr:rowOff>
    </xdr:from>
    <xdr:ext cx="922655" cy="10795"/>
    <xdr:sp macro="" textlink="">
      <xdr:nvSpPr>
        <xdr:cNvPr id="60" name="Shape 64">
          <a:extLst>
            <a:ext uri="{FF2B5EF4-FFF2-40B4-BE49-F238E27FC236}">
              <a16:creationId xmlns:a16="http://schemas.microsoft.com/office/drawing/2014/main" id="{F73A8854-7A72-4AA8-8CFC-92AB78227104}"/>
            </a:ext>
          </a:extLst>
        </xdr:cNvPr>
        <xdr:cNvSpPr/>
      </xdr:nvSpPr>
      <xdr:spPr>
        <a:xfrm>
          <a:off x="3993995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80</xdr:col>
      <xdr:colOff>48742</xdr:colOff>
      <xdr:row>0</xdr:row>
      <xdr:rowOff>0</xdr:rowOff>
    </xdr:from>
    <xdr:ext cx="922019" cy="10795"/>
    <xdr:sp macro="" textlink="">
      <xdr:nvSpPr>
        <xdr:cNvPr id="61" name="Shape 65">
          <a:extLst>
            <a:ext uri="{FF2B5EF4-FFF2-40B4-BE49-F238E27FC236}">
              <a16:creationId xmlns:a16="http://schemas.microsoft.com/office/drawing/2014/main" id="{97008F90-F5BC-438B-A2D3-02D9B6867FE6}"/>
            </a:ext>
          </a:extLst>
        </xdr:cNvPr>
        <xdr:cNvSpPr/>
      </xdr:nvSpPr>
      <xdr:spPr>
        <a:xfrm>
          <a:off x="47340367"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93</xdr:col>
      <xdr:colOff>108178</xdr:colOff>
      <xdr:row>0</xdr:row>
      <xdr:rowOff>0</xdr:rowOff>
    </xdr:from>
    <xdr:ext cx="922655" cy="10795"/>
    <xdr:sp macro="" textlink="">
      <xdr:nvSpPr>
        <xdr:cNvPr id="62" name="Shape 66">
          <a:extLst>
            <a:ext uri="{FF2B5EF4-FFF2-40B4-BE49-F238E27FC236}">
              <a16:creationId xmlns:a16="http://schemas.microsoft.com/office/drawing/2014/main" id="{A7D676FD-7324-4FC5-AA12-702E03E859DA}"/>
            </a:ext>
          </a:extLst>
        </xdr:cNvPr>
        <xdr:cNvSpPr/>
      </xdr:nvSpPr>
      <xdr:spPr>
        <a:xfrm>
          <a:off x="54334003"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Custom 2">
      <a:dk1>
        <a:sysClr val="windowText" lastClr="000000"/>
      </a:dk1>
      <a:lt1>
        <a:sysClr val="window" lastClr="FFFFFF"/>
      </a:lt1>
      <a:dk2>
        <a:srgbClr val="0E2841"/>
      </a:dk2>
      <a:lt2>
        <a:srgbClr val="E8E8E8"/>
      </a:lt2>
      <a:accent1>
        <a:srgbClr val="00B0F0"/>
      </a:accent1>
      <a:accent2>
        <a:srgbClr val="00B050"/>
      </a:accent2>
      <a:accent3>
        <a:srgbClr val="FFFF00"/>
      </a:accent3>
      <a:accent4>
        <a:srgbClr val="FF0000"/>
      </a:accent4>
      <a:accent5>
        <a:srgbClr val="A02B93"/>
      </a:accent5>
      <a:accent6>
        <a:srgbClr val="4EA72E"/>
      </a:accent6>
      <a:hlink>
        <a:srgbClr val="467886"/>
      </a:hlink>
      <a:folHlink>
        <a:srgbClr val="96607D"/>
      </a:folHlink>
    </a:clrScheme>
    <a:fontScheme name="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389DB-B5DA-4FD3-A410-33DC15CB0D70}">
  <dimension ref="A1:I25"/>
  <sheetViews>
    <sheetView showGridLines="0" tabSelected="1" zoomScaleNormal="100" zoomScaleSheetLayoutView="115" workbookViewId="0">
      <selection sqref="A1:XFD1048576"/>
    </sheetView>
  </sheetViews>
  <sheetFormatPr defaultRowHeight="12.75" x14ac:dyDescent="0.2"/>
  <sheetData>
    <row r="1" spans="1:9" x14ac:dyDescent="0.2">
      <c r="A1" s="228"/>
      <c r="B1" s="228"/>
      <c r="C1" s="228"/>
      <c r="D1" s="228"/>
      <c r="E1" s="228"/>
      <c r="F1" s="228"/>
      <c r="G1" s="228"/>
      <c r="H1" s="228"/>
      <c r="I1" s="228"/>
    </row>
    <row r="14" spans="1:9" ht="75" customHeight="1" x14ac:dyDescent="0.2">
      <c r="A14" s="227" t="s">
        <v>519</v>
      </c>
      <c r="B14" s="228"/>
      <c r="C14" s="228"/>
      <c r="D14" s="228"/>
      <c r="E14" s="228"/>
      <c r="F14" s="228"/>
      <c r="G14" s="228"/>
      <c r="H14" s="228"/>
      <c r="I14" s="228"/>
    </row>
    <row r="15" spans="1:9" ht="30" customHeight="1" x14ac:dyDescent="0.2">
      <c r="A15" s="227" t="s">
        <v>508</v>
      </c>
      <c r="B15" s="227"/>
      <c r="C15" s="227"/>
      <c r="D15" s="227"/>
      <c r="E15" s="227"/>
      <c r="F15" s="227"/>
      <c r="G15" s="227"/>
      <c r="H15" s="227"/>
      <c r="I15" s="227"/>
    </row>
    <row r="16" spans="1:9" ht="15" customHeight="1" x14ac:dyDescent="0.2">
      <c r="A16" s="224"/>
      <c r="B16" s="224"/>
      <c r="C16" s="224"/>
      <c r="D16" s="224"/>
      <c r="E16" s="224"/>
      <c r="F16" s="224"/>
      <c r="G16" s="224"/>
      <c r="H16" s="224"/>
      <c r="I16" s="224"/>
    </row>
    <row r="17" spans="1:9" x14ac:dyDescent="0.2">
      <c r="A17" s="228" t="s">
        <v>520</v>
      </c>
      <c r="B17" s="228"/>
      <c r="C17" s="228"/>
      <c r="D17" s="228"/>
      <c r="E17" s="228"/>
      <c r="F17" s="228"/>
      <c r="G17" s="228"/>
      <c r="H17" s="228"/>
      <c r="I17" s="228"/>
    </row>
    <row r="18" spans="1:9" x14ac:dyDescent="0.2">
      <c r="A18" s="228" t="s">
        <v>507</v>
      </c>
      <c r="B18" s="228"/>
      <c r="C18" s="228"/>
      <c r="D18" s="228"/>
      <c r="E18" s="228"/>
      <c r="F18" s="228"/>
      <c r="G18" s="228"/>
      <c r="H18" s="228"/>
      <c r="I18" s="228"/>
    </row>
    <row r="19" spans="1:9" ht="15" customHeight="1" x14ac:dyDescent="0.2"/>
    <row r="20" spans="1:9" ht="30" customHeight="1" x14ac:dyDescent="0.2">
      <c r="A20" s="227" t="s">
        <v>512</v>
      </c>
      <c r="B20" s="227"/>
      <c r="C20" s="227"/>
      <c r="D20" s="227"/>
      <c r="E20" s="227"/>
      <c r="F20" s="227"/>
      <c r="G20" s="227"/>
      <c r="H20" s="227"/>
      <c r="I20" s="227"/>
    </row>
    <row r="22" spans="1:9" ht="30" customHeight="1" x14ac:dyDescent="0.2">
      <c r="A22" s="227" t="s">
        <v>509</v>
      </c>
      <c r="B22" s="227"/>
      <c r="C22" s="227"/>
      <c r="D22" s="227"/>
      <c r="E22" s="227"/>
      <c r="F22" s="227"/>
      <c r="G22" s="227"/>
      <c r="H22" s="227"/>
      <c r="I22" s="227"/>
    </row>
    <row r="23" spans="1:9" ht="40.5" customHeight="1" x14ac:dyDescent="0.2">
      <c r="A23" s="227" t="s">
        <v>510</v>
      </c>
      <c r="B23" s="228"/>
      <c r="C23" s="228"/>
      <c r="D23" s="228"/>
      <c r="E23" s="228"/>
      <c r="F23" s="228"/>
      <c r="G23" s="228"/>
      <c r="H23" s="228"/>
      <c r="I23" s="228"/>
    </row>
    <row r="25" spans="1:9" x14ac:dyDescent="0.2">
      <c r="A25" s="228" t="s">
        <v>511</v>
      </c>
      <c r="B25" s="228"/>
      <c r="C25" s="228"/>
      <c r="D25" s="228"/>
      <c r="E25" s="228"/>
      <c r="F25" s="228"/>
      <c r="G25" s="228"/>
      <c r="H25" s="228"/>
      <c r="I25" s="228"/>
    </row>
  </sheetData>
  <mergeCells count="9">
    <mergeCell ref="A23:I23"/>
    <mergeCell ref="A25:I25"/>
    <mergeCell ref="A14:I14"/>
    <mergeCell ref="A1:I1"/>
    <mergeCell ref="A15:I15"/>
    <mergeCell ref="A20:I20"/>
    <mergeCell ref="A18:I18"/>
    <mergeCell ref="A17:I17"/>
    <mergeCell ref="A22:I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9849-6F65-4A70-97C2-4584D1D04FC6}">
  <sheetPr>
    <pageSetUpPr fitToPage="1"/>
  </sheetPr>
  <dimension ref="A1:Q953"/>
  <sheetViews>
    <sheetView zoomScale="90" zoomScaleNormal="90" workbookViewId="0">
      <pane ySplit="1" topLeftCell="A2" activePane="bottomLeft" state="frozen"/>
      <selection activeCell="N22" sqref="N22"/>
      <selection pane="bottomLeft" activeCell="G28" sqref="G28"/>
    </sheetView>
  </sheetViews>
  <sheetFormatPr defaultColWidth="9.33203125" defaultRowHeight="12.75" x14ac:dyDescent="0.2"/>
  <cols>
    <col min="1" max="2" width="5" style="13" customWidth="1"/>
    <col min="3" max="4" width="5.83203125" style="13" customWidth="1"/>
    <col min="5" max="5" width="5.5" style="29" customWidth="1"/>
    <col min="6" max="6" width="62.83203125" style="29" customWidth="1"/>
    <col min="7" max="8" width="17" style="163" customWidth="1"/>
    <col min="9" max="14" width="17" style="61" customWidth="1"/>
    <col min="15" max="15" width="22.1640625" style="13" customWidth="1"/>
    <col min="16" max="16" width="24.1640625" style="13" bestFit="1" customWidth="1"/>
    <col min="17" max="17" width="27.83203125" style="13" bestFit="1" customWidth="1"/>
    <col min="18" max="16384" width="9.33203125" style="13"/>
  </cols>
  <sheetData>
    <row r="1" spans="1:17" ht="25.5" x14ac:dyDescent="0.2">
      <c r="A1" s="271" t="s">
        <v>0</v>
      </c>
      <c r="B1" s="271"/>
      <c r="C1" s="271"/>
      <c r="D1" s="271"/>
      <c r="E1" s="271"/>
      <c r="F1" s="272"/>
      <c r="G1" s="221" t="s">
        <v>1</v>
      </c>
      <c r="H1" s="221" t="s">
        <v>2</v>
      </c>
      <c r="I1" s="221" t="s">
        <v>3</v>
      </c>
      <c r="J1" s="221" t="s">
        <v>4</v>
      </c>
      <c r="K1" s="221" t="s">
        <v>5</v>
      </c>
      <c r="L1" s="221" t="s">
        <v>6</v>
      </c>
      <c r="M1" s="221" t="s">
        <v>7</v>
      </c>
      <c r="N1" s="221" t="s">
        <v>8</v>
      </c>
      <c r="O1" s="24"/>
      <c r="P1" s="24"/>
      <c r="Q1" s="24"/>
    </row>
    <row r="2" spans="1:17" x14ac:dyDescent="0.2">
      <c r="A2" s="246" t="s">
        <v>9</v>
      </c>
      <c r="B2" s="246"/>
      <c r="C2" s="246"/>
      <c r="D2" s="246"/>
      <c r="E2" s="246"/>
      <c r="F2" s="247"/>
      <c r="G2" s="179">
        <f t="shared" ref="G2:N2" si="0">G3+G5+G19+G29+G121+G127+G130+G138+G140+G152</f>
        <v>187963721</v>
      </c>
      <c r="H2" s="179">
        <f t="shared" si="0"/>
        <v>229941311</v>
      </c>
      <c r="I2" s="179">
        <f t="shared" si="0"/>
        <v>232798334</v>
      </c>
      <c r="J2" s="179">
        <f t="shared" si="0"/>
        <v>305853551</v>
      </c>
      <c r="K2" s="179">
        <f t="shared" si="0"/>
        <v>292364670.88499999</v>
      </c>
      <c r="L2" s="179">
        <f t="shared" si="0"/>
        <v>340820952</v>
      </c>
      <c r="M2" s="179">
        <f t="shared" si="0"/>
        <v>324413492</v>
      </c>
      <c r="N2" s="179">
        <f t="shared" si="0"/>
        <v>348375230</v>
      </c>
      <c r="O2" s="180"/>
      <c r="P2" s="102"/>
      <c r="Q2" s="102"/>
    </row>
    <row r="3" spans="1:17" x14ac:dyDescent="0.2">
      <c r="B3" s="248" t="s">
        <v>10</v>
      </c>
      <c r="C3" s="248"/>
      <c r="D3" s="248"/>
      <c r="E3" s="248"/>
      <c r="F3" s="248"/>
      <c r="G3" s="89">
        <f t="shared" ref="G3:N3" si="1">G4</f>
        <v>0</v>
      </c>
      <c r="H3" s="89">
        <f t="shared" si="1"/>
        <v>0</v>
      </c>
      <c r="I3" s="89">
        <f t="shared" si="1"/>
        <v>0</v>
      </c>
      <c r="J3" s="89">
        <f t="shared" si="1"/>
        <v>0</v>
      </c>
      <c r="K3" s="89">
        <f t="shared" si="1"/>
        <v>0</v>
      </c>
      <c r="L3" s="89">
        <f t="shared" si="1"/>
        <v>19250000</v>
      </c>
      <c r="M3" s="89">
        <f t="shared" si="1"/>
        <v>0</v>
      </c>
      <c r="N3" s="89">
        <f t="shared" si="1"/>
        <v>27194047</v>
      </c>
      <c r="O3" s="15"/>
      <c r="P3" s="15"/>
      <c r="Q3" s="15"/>
    </row>
    <row r="4" spans="1:17" x14ac:dyDescent="0.2">
      <c r="B4" s="87"/>
      <c r="C4" s="87"/>
      <c r="D4" s="229" t="s">
        <v>11</v>
      </c>
      <c r="E4" s="230"/>
      <c r="F4" s="231"/>
      <c r="G4" s="86">
        <v>0</v>
      </c>
      <c r="H4" s="86">
        <v>0</v>
      </c>
      <c r="I4" s="86">
        <v>0</v>
      </c>
      <c r="J4" s="95">
        <v>0</v>
      </c>
      <c r="K4" s="95">
        <v>0</v>
      </c>
      <c r="L4" s="95">
        <v>19250000</v>
      </c>
      <c r="M4" s="95">
        <v>0</v>
      </c>
      <c r="N4" s="95">
        <v>27194047</v>
      </c>
      <c r="O4" s="15"/>
      <c r="P4" s="15"/>
      <c r="Q4" s="15"/>
    </row>
    <row r="5" spans="1:17" x14ac:dyDescent="0.2">
      <c r="B5" s="249" t="s">
        <v>12</v>
      </c>
      <c r="C5" s="249"/>
      <c r="D5" s="249"/>
      <c r="E5" s="249"/>
      <c r="F5" s="249"/>
      <c r="G5" s="91">
        <f t="shared" ref="G5:N5" si="2">SUM(G6:G18)</f>
        <v>7672802</v>
      </c>
      <c r="H5" s="91">
        <f t="shared" si="2"/>
        <v>7355313</v>
      </c>
      <c r="I5" s="91">
        <f t="shared" si="2"/>
        <v>7971618</v>
      </c>
      <c r="J5" s="91">
        <f t="shared" si="2"/>
        <v>10134584</v>
      </c>
      <c r="K5" s="91">
        <f t="shared" si="2"/>
        <v>9546030.0599999987</v>
      </c>
      <c r="L5" s="91">
        <f t="shared" si="2"/>
        <v>9687611</v>
      </c>
      <c r="M5" s="91">
        <f t="shared" si="2"/>
        <v>8328392</v>
      </c>
      <c r="N5" s="91">
        <f t="shared" si="2"/>
        <v>7985700</v>
      </c>
      <c r="O5" s="90"/>
      <c r="P5" s="90"/>
      <c r="Q5" s="90"/>
    </row>
    <row r="6" spans="1:17" x14ac:dyDescent="0.2">
      <c r="B6" s="87"/>
      <c r="C6" s="87"/>
      <c r="D6" s="229" t="s">
        <v>13</v>
      </c>
      <c r="E6" s="230"/>
      <c r="F6" s="231"/>
      <c r="G6" s="86">
        <v>-2164632</v>
      </c>
      <c r="H6" s="86">
        <v>-2340341</v>
      </c>
      <c r="I6" s="101">
        <v>-3297202</v>
      </c>
      <c r="J6" s="85">
        <v>-2633269</v>
      </c>
      <c r="K6" s="85">
        <v>-2669944.0299999998</v>
      </c>
      <c r="L6" s="85">
        <v>-3000000</v>
      </c>
      <c r="M6" s="85">
        <v>-2678538</v>
      </c>
      <c r="N6" s="85">
        <v>-2700000</v>
      </c>
      <c r="O6" s="15"/>
      <c r="P6" s="15"/>
      <c r="Q6" s="15"/>
    </row>
    <row r="7" spans="1:17" x14ac:dyDescent="0.2">
      <c r="B7" s="87"/>
      <c r="C7" s="87"/>
      <c r="D7" s="229" t="s">
        <v>14</v>
      </c>
      <c r="E7" s="230"/>
      <c r="F7" s="231"/>
      <c r="G7" s="86">
        <v>260715</v>
      </c>
      <c r="H7" s="86">
        <v>258440</v>
      </c>
      <c r="I7" s="86">
        <v>248006</v>
      </c>
      <c r="J7" s="85">
        <v>251284</v>
      </c>
      <c r="K7" s="85">
        <v>265220.09000000003</v>
      </c>
      <c r="L7" s="85">
        <v>277107</v>
      </c>
      <c r="M7" s="85">
        <v>260801</v>
      </c>
      <c r="N7" s="85">
        <v>275000</v>
      </c>
      <c r="O7" s="15"/>
      <c r="P7" s="15"/>
      <c r="Q7" s="15"/>
    </row>
    <row r="8" spans="1:17" x14ac:dyDescent="0.2">
      <c r="B8" s="87"/>
      <c r="C8" s="87"/>
      <c r="D8" s="229" t="s">
        <v>15</v>
      </c>
      <c r="E8" s="230"/>
      <c r="F8" s="231"/>
      <c r="G8" s="86">
        <v>455046</v>
      </c>
      <c r="H8" s="86">
        <v>383243</v>
      </c>
      <c r="I8" s="86">
        <v>501250</v>
      </c>
      <c r="J8" s="85">
        <v>106948</v>
      </c>
      <c r="K8" s="85">
        <v>113488.36</v>
      </c>
      <c r="L8" s="85">
        <v>636540</v>
      </c>
      <c r="M8" s="85">
        <v>77717</v>
      </c>
      <c r="N8" s="85">
        <v>50000</v>
      </c>
      <c r="O8" s="15"/>
      <c r="P8" s="15"/>
      <c r="Q8" s="15"/>
    </row>
    <row r="9" spans="1:17" x14ac:dyDescent="0.2">
      <c r="B9" s="87"/>
      <c r="C9" s="87"/>
      <c r="D9" s="229" t="s">
        <v>16</v>
      </c>
      <c r="E9" s="230"/>
      <c r="F9" s="231"/>
      <c r="G9" s="86">
        <v>-284921</v>
      </c>
      <c r="H9" s="86">
        <v>-316369</v>
      </c>
      <c r="I9" s="101">
        <v>-261823</v>
      </c>
      <c r="J9" s="85">
        <v>-334131</v>
      </c>
      <c r="K9" s="85">
        <v>-172342.87</v>
      </c>
      <c r="L9" s="85">
        <v>-318270</v>
      </c>
      <c r="M9" s="85">
        <v>-306806</v>
      </c>
      <c r="N9" s="85">
        <v>-300000</v>
      </c>
      <c r="O9" s="15"/>
      <c r="P9" s="15"/>
      <c r="Q9" s="15"/>
    </row>
    <row r="10" spans="1:17" x14ac:dyDescent="0.2">
      <c r="B10" s="87"/>
      <c r="C10" s="87"/>
      <c r="D10" s="229" t="s">
        <v>17</v>
      </c>
      <c r="E10" s="230"/>
      <c r="F10" s="231"/>
      <c r="G10" s="86">
        <v>0</v>
      </c>
      <c r="H10" s="86">
        <v>0</v>
      </c>
      <c r="I10" s="86">
        <v>0</v>
      </c>
      <c r="J10" s="85">
        <v>0</v>
      </c>
      <c r="K10" s="85">
        <v>0</v>
      </c>
      <c r="L10" s="85">
        <v>0</v>
      </c>
      <c r="M10" s="85">
        <v>0</v>
      </c>
      <c r="N10" s="85">
        <v>0</v>
      </c>
      <c r="O10" s="15"/>
      <c r="P10" s="15"/>
      <c r="Q10" s="15"/>
    </row>
    <row r="11" spans="1:17" x14ac:dyDescent="0.2">
      <c r="B11" s="87"/>
      <c r="C11" s="87"/>
      <c r="D11" s="229" t="s">
        <v>18</v>
      </c>
      <c r="E11" s="230"/>
      <c r="F11" s="231"/>
      <c r="G11" s="86">
        <v>1332342</v>
      </c>
      <c r="H11" s="86">
        <v>1290710</v>
      </c>
      <c r="I11" s="86">
        <v>1406674</v>
      </c>
      <c r="J11" s="85">
        <v>1493881</v>
      </c>
      <c r="K11" s="85">
        <v>1776178.94</v>
      </c>
      <c r="L11" s="85">
        <v>1726280</v>
      </c>
      <c r="M11" s="85">
        <v>2743285</v>
      </c>
      <c r="N11" s="85">
        <v>1750000</v>
      </c>
      <c r="O11" s="15"/>
      <c r="P11" s="15"/>
      <c r="Q11" s="15"/>
    </row>
    <row r="12" spans="1:17" x14ac:dyDescent="0.2">
      <c r="B12" s="87"/>
      <c r="C12" s="87"/>
      <c r="D12" s="229" t="s">
        <v>19</v>
      </c>
      <c r="E12" s="230"/>
      <c r="F12" s="231"/>
      <c r="G12" s="86">
        <v>6113</v>
      </c>
      <c r="H12" s="86">
        <v>4439</v>
      </c>
      <c r="I12" s="86">
        <v>5902</v>
      </c>
      <c r="J12" s="85">
        <v>0</v>
      </c>
      <c r="K12" s="85">
        <v>0</v>
      </c>
      <c r="L12" s="85">
        <v>5305</v>
      </c>
      <c r="M12" s="85">
        <v>0</v>
      </c>
      <c r="N12" s="85">
        <v>5000</v>
      </c>
      <c r="O12" s="15"/>
      <c r="P12" s="15"/>
      <c r="Q12" s="15"/>
    </row>
    <row r="13" spans="1:17" x14ac:dyDescent="0.2">
      <c r="B13" s="87"/>
      <c r="C13" s="87"/>
      <c r="D13" s="229" t="s">
        <v>20</v>
      </c>
      <c r="E13" s="230"/>
      <c r="F13" s="231"/>
      <c r="G13" s="86">
        <v>3372591</v>
      </c>
      <c r="H13" s="86">
        <v>3388495</v>
      </c>
      <c r="I13" s="86">
        <v>3964479</v>
      </c>
      <c r="J13" s="85">
        <v>4276311</v>
      </c>
      <c r="K13" s="85">
        <v>4926150.29</v>
      </c>
      <c r="L13" s="85">
        <v>4383680</v>
      </c>
      <c r="M13" s="85">
        <v>3310816</v>
      </c>
      <c r="N13" s="85">
        <v>4000000</v>
      </c>
      <c r="O13" s="15"/>
      <c r="P13" s="15"/>
      <c r="Q13" s="15"/>
    </row>
    <row r="14" spans="1:17" x14ac:dyDescent="0.2">
      <c r="B14" s="87"/>
      <c r="C14" s="87"/>
      <c r="D14" s="229" t="s">
        <v>21</v>
      </c>
      <c r="E14" s="230"/>
      <c r="F14" s="231"/>
      <c r="G14" s="86">
        <v>100000</v>
      </c>
      <c r="H14" s="86">
        <v>100000</v>
      </c>
      <c r="I14" s="86">
        <v>0</v>
      </c>
      <c r="J14" s="85">
        <v>100000</v>
      </c>
      <c r="K14" s="85">
        <v>0</v>
      </c>
      <c r="L14" s="85">
        <v>106090</v>
      </c>
      <c r="M14" s="85">
        <v>0</v>
      </c>
      <c r="N14" s="85">
        <v>0</v>
      </c>
      <c r="O14" s="15"/>
      <c r="P14" s="15"/>
      <c r="Q14" s="15"/>
    </row>
    <row r="15" spans="1:17" x14ac:dyDescent="0.2">
      <c r="B15" s="87"/>
      <c r="C15" s="87"/>
      <c r="D15" s="229" t="s">
        <v>22</v>
      </c>
      <c r="E15" s="230"/>
      <c r="F15" s="231"/>
      <c r="G15" s="86">
        <v>2761912</v>
      </c>
      <c r="H15" s="86">
        <v>2674148</v>
      </c>
      <c r="I15" s="86">
        <v>3469459</v>
      </c>
      <c r="J15" s="85">
        <v>4779552</v>
      </c>
      <c r="K15" s="85">
        <v>3110028.28</v>
      </c>
      <c r="L15" s="85">
        <v>4800000</v>
      </c>
      <c r="M15" s="85">
        <v>2831492</v>
      </c>
      <c r="N15" s="85">
        <v>4000000</v>
      </c>
      <c r="O15" s="15"/>
      <c r="P15" s="15"/>
      <c r="Q15" s="15"/>
    </row>
    <row r="16" spans="1:17" x14ac:dyDescent="0.2">
      <c r="B16" s="87"/>
      <c r="C16" s="87"/>
      <c r="D16" s="229" t="s">
        <v>23</v>
      </c>
      <c r="E16" s="230"/>
      <c r="F16" s="231"/>
      <c r="G16" s="86">
        <v>1833136</v>
      </c>
      <c r="H16" s="86">
        <v>1912048</v>
      </c>
      <c r="I16" s="86">
        <v>1934873</v>
      </c>
      <c r="J16" s="85">
        <v>2093508</v>
      </c>
      <c r="K16" s="85">
        <v>2196751</v>
      </c>
      <c r="L16" s="85">
        <v>2265149</v>
      </c>
      <c r="M16" s="85">
        <v>2089125</v>
      </c>
      <c r="N16" s="85">
        <v>2100000</v>
      </c>
      <c r="O16" s="15"/>
      <c r="P16" s="15"/>
      <c r="Q16" s="15"/>
    </row>
    <row r="17" spans="2:17" x14ac:dyDescent="0.2">
      <c r="B17" s="87"/>
      <c r="C17" s="87"/>
      <c r="D17" s="229" t="s">
        <v>24</v>
      </c>
      <c r="E17" s="230"/>
      <c r="F17" s="231"/>
      <c r="G17" s="86">
        <v>500</v>
      </c>
      <c r="H17" s="86">
        <v>500</v>
      </c>
      <c r="I17" s="86">
        <v>0</v>
      </c>
      <c r="J17" s="85">
        <v>500</v>
      </c>
      <c r="K17" s="85">
        <v>500</v>
      </c>
      <c r="L17" s="85">
        <v>530</v>
      </c>
      <c r="M17" s="85">
        <v>500</v>
      </c>
      <c r="N17" s="85">
        <v>500</v>
      </c>
      <c r="O17" s="15"/>
      <c r="P17" s="15"/>
      <c r="Q17" s="15"/>
    </row>
    <row r="18" spans="2:17" x14ac:dyDescent="0.2">
      <c r="B18" s="87"/>
      <c r="C18" s="87"/>
      <c r="D18" s="229" t="s">
        <v>25</v>
      </c>
      <c r="E18" s="230"/>
      <c r="F18" s="231"/>
      <c r="G18" s="86">
        <v>0</v>
      </c>
      <c r="H18" s="86">
        <v>0</v>
      </c>
      <c r="I18" s="86">
        <v>0</v>
      </c>
      <c r="J18" s="85">
        <v>0</v>
      </c>
      <c r="K18" s="85">
        <v>0</v>
      </c>
      <c r="L18" s="85">
        <v>-1194800</v>
      </c>
      <c r="M18" s="85">
        <v>0</v>
      </c>
      <c r="N18" s="85">
        <v>-1194800</v>
      </c>
      <c r="O18" s="15"/>
      <c r="P18" s="15"/>
      <c r="Q18" s="15"/>
    </row>
    <row r="19" spans="2:17" x14ac:dyDescent="0.2">
      <c r="B19" s="248" t="s">
        <v>26</v>
      </c>
      <c r="C19" s="248"/>
      <c r="D19" s="248"/>
      <c r="E19" s="248"/>
      <c r="F19" s="248"/>
      <c r="G19" s="100">
        <f t="shared" ref="G19:N19" si="3">SUM(G20:G28)</f>
        <v>90243502</v>
      </c>
      <c r="H19" s="100">
        <f t="shared" si="3"/>
        <v>104571907</v>
      </c>
      <c r="I19" s="100">
        <f t="shared" si="3"/>
        <v>113012832</v>
      </c>
      <c r="J19" s="100">
        <f t="shared" si="3"/>
        <v>121817211</v>
      </c>
      <c r="K19" s="100">
        <f t="shared" si="3"/>
        <v>126479331.59999999</v>
      </c>
      <c r="L19" s="100">
        <f t="shared" si="3"/>
        <v>131028125</v>
      </c>
      <c r="M19" s="100">
        <f t="shared" si="3"/>
        <v>128769786</v>
      </c>
      <c r="N19" s="100">
        <f t="shared" si="3"/>
        <v>130750761</v>
      </c>
      <c r="O19" s="15"/>
      <c r="P19" s="15"/>
      <c r="Q19" s="15"/>
    </row>
    <row r="20" spans="2:17" x14ac:dyDescent="0.2">
      <c r="B20" s="87"/>
      <c r="C20" s="87"/>
      <c r="D20" s="229" t="s">
        <v>27</v>
      </c>
      <c r="E20" s="230"/>
      <c r="F20" s="231"/>
      <c r="G20" s="86">
        <v>85414655</v>
      </c>
      <c r="H20" s="86">
        <v>99224049</v>
      </c>
      <c r="I20" s="86">
        <v>108084537</v>
      </c>
      <c r="J20" s="85">
        <v>115788545</v>
      </c>
      <c r="K20" s="85">
        <v>119484222.98</v>
      </c>
      <c r="L20" s="85">
        <v>123655134</v>
      </c>
      <c r="M20" s="85">
        <v>121758179</v>
      </c>
      <c r="N20" s="85">
        <v>122975761</v>
      </c>
      <c r="O20" s="15"/>
      <c r="P20" s="15"/>
      <c r="Q20" s="15"/>
    </row>
    <row r="21" spans="2:17" x14ac:dyDescent="0.2">
      <c r="B21" s="87"/>
      <c r="C21" s="87"/>
      <c r="D21" s="229" t="s">
        <v>28</v>
      </c>
      <c r="E21" s="230"/>
      <c r="F21" s="231"/>
      <c r="G21" s="86">
        <v>1438151</v>
      </c>
      <c r="H21" s="86">
        <v>1879910</v>
      </c>
      <c r="I21" s="86">
        <v>2055355</v>
      </c>
      <c r="J21" s="85">
        <v>2100277</v>
      </c>
      <c r="K21" s="85">
        <v>1979156.89</v>
      </c>
      <c r="L21" s="85">
        <v>2146180</v>
      </c>
      <c r="M21" s="85">
        <v>2173186</v>
      </c>
      <c r="N21" s="85">
        <v>2150000</v>
      </c>
      <c r="O21" s="15"/>
      <c r="P21" s="15"/>
      <c r="Q21" s="15"/>
    </row>
    <row r="22" spans="2:17" x14ac:dyDescent="0.2">
      <c r="B22" s="87"/>
      <c r="C22" s="87"/>
      <c r="D22" s="229" t="s">
        <v>29</v>
      </c>
      <c r="E22" s="230"/>
      <c r="F22" s="231"/>
      <c r="G22" s="86">
        <v>0</v>
      </c>
      <c r="H22" s="86">
        <v>0</v>
      </c>
      <c r="I22" s="86">
        <v>0</v>
      </c>
      <c r="J22" s="86">
        <v>0</v>
      </c>
      <c r="K22" s="86">
        <v>0</v>
      </c>
      <c r="L22" s="86">
        <v>0</v>
      </c>
      <c r="M22" s="85">
        <v>200000</v>
      </c>
      <c r="N22" s="85">
        <v>800000</v>
      </c>
      <c r="O22" s="15"/>
      <c r="P22" s="15"/>
      <c r="Q22" s="15"/>
    </row>
    <row r="23" spans="2:17" x14ac:dyDescent="0.2">
      <c r="B23" s="87"/>
      <c r="C23" s="87"/>
      <c r="D23" s="229" t="s">
        <v>30</v>
      </c>
      <c r="E23" s="230"/>
      <c r="F23" s="231"/>
      <c r="G23" s="86">
        <v>1445305</v>
      </c>
      <c r="H23" s="86">
        <v>1433154</v>
      </c>
      <c r="I23" s="86">
        <v>1027527</v>
      </c>
      <c r="J23" s="85">
        <v>1300189</v>
      </c>
      <c r="K23" s="85">
        <v>1460413.28</v>
      </c>
      <c r="L23" s="85">
        <v>1412945</v>
      </c>
      <c r="M23" s="85">
        <v>1000590</v>
      </c>
      <c r="N23" s="85">
        <v>1350000</v>
      </c>
      <c r="O23" s="15"/>
      <c r="P23" s="15"/>
      <c r="Q23" s="15"/>
    </row>
    <row r="24" spans="2:17" x14ac:dyDescent="0.2">
      <c r="B24" s="87"/>
      <c r="C24" s="87"/>
      <c r="D24" s="229" t="s">
        <v>31</v>
      </c>
      <c r="E24" s="230"/>
      <c r="F24" s="231"/>
      <c r="G24" s="86">
        <v>115984</v>
      </c>
      <c r="H24" s="86">
        <v>63572</v>
      </c>
      <c r="I24" s="86">
        <v>95413</v>
      </c>
      <c r="J24" s="85">
        <v>131747</v>
      </c>
      <c r="K24" s="85">
        <v>225929.85</v>
      </c>
      <c r="L24" s="85">
        <v>68288</v>
      </c>
      <c r="M24" s="85">
        <v>302876</v>
      </c>
      <c r="N24" s="85">
        <v>125000</v>
      </c>
      <c r="O24" s="15"/>
      <c r="P24" s="15"/>
      <c r="Q24" s="15"/>
    </row>
    <row r="25" spans="2:17" x14ac:dyDescent="0.2">
      <c r="B25" s="87"/>
      <c r="C25" s="87"/>
      <c r="D25" s="229" t="s">
        <v>32</v>
      </c>
      <c r="E25" s="230"/>
      <c r="F25" s="231"/>
      <c r="G25" s="86">
        <v>500000</v>
      </c>
      <c r="H25" s="86">
        <v>500000</v>
      </c>
      <c r="I25" s="86">
        <v>500000</v>
      </c>
      <c r="J25" s="85">
        <v>500000</v>
      </c>
      <c r="K25" s="85">
        <v>493575</v>
      </c>
      <c r="L25" s="85">
        <v>500000</v>
      </c>
      <c r="M25" s="85">
        <v>486580</v>
      </c>
      <c r="N25" s="85">
        <v>125000</v>
      </c>
      <c r="O25" s="15"/>
      <c r="P25" s="15"/>
      <c r="Q25" s="15"/>
    </row>
    <row r="26" spans="2:17" x14ac:dyDescent="0.2">
      <c r="B26" s="87"/>
      <c r="C26" s="87"/>
      <c r="D26" s="229" t="s">
        <v>33</v>
      </c>
      <c r="E26" s="230"/>
      <c r="F26" s="231"/>
      <c r="G26" s="86">
        <v>950000</v>
      </c>
      <c r="H26" s="86">
        <v>1000000</v>
      </c>
      <c r="I26" s="86">
        <v>1250000</v>
      </c>
      <c r="J26" s="85">
        <v>1500000</v>
      </c>
      <c r="K26" s="85">
        <v>1750000</v>
      </c>
      <c r="L26" s="85">
        <v>2000000</v>
      </c>
      <c r="M26" s="85">
        <v>2000000</v>
      </c>
      <c r="N26" s="85">
        <v>2000000</v>
      </c>
      <c r="O26" s="15"/>
      <c r="P26" s="15"/>
      <c r="Q26" s="15"/>
    </row>
    <row r="27" spans="2:17" x14ac:dyDescent="0.2">
      <c r="B27" s="87"/>
      <c r="C27" s="87"/>
      <c r="D27" s="229" t="s">
        <v>34</v>
      </c>
      <c r="E27" s="230"/>
      <c r="F27" s="231"/>
      <c r="G27" s="86">
        <v>379407</v>
      </c>
      <c r="H27" s="86">
        <v>471222</v>
      </c>
      <c r="I27" s="86">
        <v>0</v>
      </c>
      <c r="J27" s="85">
        <v>496453</v>
      </c>
      <c r="K27" s="85">
        <v>514985.44</v>
      </c>
      <c r="L27" s="85">
        <v>445578</v>
      </c>
      <c r="M27" s="85">
        <v>184101</v>
      </c>
      <c r="N27" s="85">
        <v>475000</v>
      </c>
      <c r="O27" s="15"/>
      <c r="P27" s="15"/>
      <c r="Q27" s="15"/>
    </row>
    <row r="28" spans="2:17" x14ac:dyDescent="0.2">
      <c r="B28" s="87"/>
      <c r="C28" s="87"/>
      <c r="D28" s="229" t="s">
        <v>35</v>
      </c>
      <c r="E28" s="230"/>
      <c r="F28" s="231"/>
      <c r="G28" s="86">
        <v>0</v>
      </c>
      <c r="H28" s="86">
        <v>0</v>
      </c>
      <c r="I28" s="86">
        <v>0</v>
      </c>
      <c r="J28" s="85">
        <v>0</v>
      </c>
      <c r="K28" s="85">
        <v>571048.16</v>
      </c>
      <c r="L28" s="85">
        <v>800000</v>
      </c>
      <c r="M28" s="85">
        <v>664274</v>
      </c>
      <c r="N28" s="85">
        <v>750000</v>
      </c>
      <c r="O28" s="15"/>
      <c r="P28" s="15"/>
      <c r="Q28" s="15"/>
    </row>
    <row r="29" spans="2:17" x14ac:dyDescent="0.2">
      <c r="B29" s="248" t="s">
        <v>36</v>
      </c>
      <c r="C29" s="248"/>
      <c r="D29" s="248"/>
      <c r="E29" s="248"/>
      <c r="F29" s="248"/>
      <c r="G29" s="100">
        <f t="shared" ref="G29:N29" si="4">G30+G52+G54+G70+G77+G82+G91+G94+G118</f>
        <v>15507534</v>
      </c>
      <c r="H29" s="100">
        <f t="shared" si="4"/>
        <v>13679182</v>
      </c>
      <c r="I29" s="100">
        <f t="shared" si="4"/>
        <v>25726950</v>
      </c>
      <c r="J29" s="100">
        <f t="shared" si="4"/>
        <v>17289114</v>
      </c>
      <c r="K29" s="100">
        <f t="shared" si="4"/>
        <v>20058821.105</v>
      </c>
      <c r="L29" s="100">
        <f t="shared" si="4"/>
        <v>18948391</v>
      </c>
      <c r="M29" s="100">
        <f t="shared" si="4"/>
        <v>21765778</v>
      </c>
      <c r="N29" s="100">
        <f t="shared" si="4"/>
        <v>26925430</v>
      </c>
      <c r="O29" s="15"/>
      <c r="P29" s="15"/>
      <c r="Q29" s="15"/>
    </row>
    <row r="30" spans="2:17" x14ac:dyDescent="0.2">
      <c r="B30" s="87"/>
      <c r="C30" s="250" t="s">
        <v>37</v>
      </c>
      <c r="D30" s="250"/>
      <c r="E30" s="250"/>
      <c r="F30" s="250"/>
      <c r="G30" s="100">
        <f t="shared" ref="G30:N30" si="5">SUM(G31:G51)</f>
        <v>4153263</v>
      </c>
      <c r="H30" s="100">
        <f t="shared" si="5"/>
        <v>4407985</v>
      </c>
      <c r="I30" s="100">
        <f t="shared" si="5"/>
        <v>13692000</v>
      </c>
      <c r="J30" s="100">
        <f t="shared" si="5"/>
        <v>4781643</v>
      </c>
      <c r="K30" s="100">
        <f t="shared" si="5"/>
        <v>4500722.6700000009</v>
      </c>
      <c r="L30" s="100">
        <f t="shared" si="5"/>
        <v>5780083</v>
      </c>
      <c r="M30" s="100">
        <f t="shared" si="5"/>
        <v>4480412</v>
      </c>
      <c r="N30" s="100">
        <f t="shared" si="5"/>
        <v>11926750</v>
      </c>
      <c r="O30" s="15"/>
      <c r="P30" s="15"/>
      <c r="Q30" s="15"/>
    </row>
    <row r="31" spans="2:17" x14ac:dyDescent="0.2">
      <c r="B31" s="87"/>
      <c r="C31" s="87"/>
      <c r="D31" s="255" t="s">
        <v>38</v>
      </c>
      <c r="E31" s="255"/>
      <c r="F31" s="255"/>
      <c r="G31" s="86">
        <v>74505</v>
      </c>
      <c r="H31" s="86">
        <v>92951</v>
      </c>
      <c r="I31" s="86">
        <v>97340</v>
      </c>
      <c r="J31" s="95">
        <v>99134</v>
      </c>
      <c r="K31" s="95">
        <v>112834</v>
      </c>
      <c r="L31" s="95">
        <v>90177</v>
      </c>
      <c r="M31" s="95">
        <v>108766</v>
      </c>
      <c r="N31" s="95">
        <v>100000</v>
      </c>
      <c r="O31" s="24"/>
      <c r="P31" s="24"/>
      <c r="Q31" s="24"/>
    </row>
    <row r="32" spans="2:17" x14ac:dyDescent="0.2">
      <c r="B32" s="87"/>
      <c r="C32" s="87"/>
      <c r="D32" s="229" t="s">
        <v>39</v>
      </c>
      <c r="E32" s="230"/>
      <c r="F32" s="231"/>
      <c r="G32" s="86">
        <v>20652</v>
      </c>
      <c r="H32" s="86">
        <v>12317</v>
      </c>
      <c r="I32" s="86">
        <v>12208</v>
      </c>
      <c r="J32" s="85">
        <v>8340</v>
      </c>
      <c r="K32" s="85">
        <v>6738.5</v>
      </c>
      <c r="L32" s="85">
        <v>15914</v>
      </c>
      <c r="M32" s="85">
        <v>10465</v>
      </c>
      <c r="N32" s="85">
        <v>12000</v>
      </c>
      <c r="O32" s="15"/>
      <c r="P32" s="15"/>
      <c r="Q32" s="15"/>
    </row>
    <row r="33" spans="2:17" x14ac:dyDescent="0.2">
      <c r="B33" s="87"/>
      <c r="C33" s="87"/>
      <c r="D33" s="229" t="s">
        <v>40</v>
      </c>
      <c r="E33" s="230"/>
      <c r="F33" s="231"/>
      <c r="G33" s="86">
        <v>767751</v>
      </c>
      <c r="H33" s="86">
        <v>759685</v>
      </c>
      <c r="I33" s="86">
        <v>739588</v>
      </c>
      <c r="J33" s="85">
        <v>715279</v>
      </c>
      <c r="K33" s="85">
        <v>730680.88</v>
      </c>
      <c r="L33" s="85">
        <v>757058</v>
      </c>
      <c r="M33" s="85">
        <v>769002</v>
      </c>
      <c r="N33" s="85">
        <v>779500</v>
      </c>
      <c r="O33" s="15"/>
      <c r="P33" s="15"/>
      <c r="Q33" s="15"/>
    </row>
    <row r="34" spans="2:17" x14ac:dyDescent="0.2">
      <c r="B34" s="87"/>
      <c r="C34" s="87"/>
      <c r="D34" s="229" t="s">
        <v>41</v>
      </c>
      <c r="E34" s="230"/>
      <c r="F34" s="231"/>
      <c r="G34" s="86">
        <v>836645</v>
      </c>
      <c r="H34" s="86">
        <v>961297</v>
      </c>
      <c r="I34" s="86">
        <v>696587</v>
      </c>
      <c r="J34" s="85">
        <v>762490</v>
      </c>
      <c r="K34" s="85">
        <v>691946.85</v>
      </c>
      <c r="L34" s="85">
        <v>721000</v>
      </c>
      <c r="M34" s="85">
        <v>637372</v>
      </c>
      <c r="N34" s="85">
        <v>650000</v>
      </c>
      <c r="O34" s="15"/>
      <c r="P34" s="15"/>
      <c r="Q34" s="15"/>
    </row>
    <row r="35" spans="2:17" x14ac:dyDescent="0.2">
      <c r="B35" s="87"/>
      <c r="C35" s="87"/>
      <c r="D35" s="229" t="s">
        <v>42</v>
      </c>
      <c r="E35" s="230"/>
      <c r="F35" s="231"/>
      <c r="G35" s="86">
        <v>18865</v>
      </c>
      <c r="H35" s="86">
        <v>17133</v>
      </c>
      <c r="I35" s="86">
        <v>13185</v>
      </c>
      <c r="J35" s="85">
        <v>15298</v>
      </c>
      <c r="K35" s="85">
        <v>15880.83</v>
      </c>
      <c r="L35" s="85">
        <v>15914</v>
      </c>
      <c r="M35" s="85">
        <v>15754</v>
      </c>
      <c r="N35" s="85">
        <v>16000</v>
      </c>
      <c r="O35" s="15"/>
      <c r="P35" s="15"/>
      <c r="Q35" s="15"/>
    </row>
    <row r="36" spans="2:17" x14ac:dyDescent="0.2">
      <c r="B36" s="87"/>
      <c r="C36" s="87"/>
      <c r="D36" s="229" t="s">
        <v>43</v>
      </c>
      <c r="E36" s="230"/>
      <c r="F36" s="231"/>
      <c r="G36" s="86">
        <v>1470</v>
      </c>
      <c r="H36" s="86">
        <v>518</v>
      </c>
      <c r="I36" s="86">
        <v>1050</v>
      </c>
      <c r="J36" s="85">
        <v>908</v>
      </c>
      <c r="K36" s="85">
        <v>420</v>
      </c>
      <c r="L36" s="85">
        <v>1030</v>
      </c>
      <c r="M36" s="85">
        <v>0</v>
      </c>
      <c r="N36" s="85">
        <v>1000</v>
      </c>
      <c r="O36" s="15"/>
      <c r="P36" s="15"/>
      <c r="Q36" s="15"/>
    </row>
    <row r="37" spans="2:17" x14ac:dyDescent="0.2">
      <c r="B37" s="87"/>
      <c r="C37" s="87"/>
      <c r="D37" s="229" t="s">
        <v>44</v>
      </c>
      <c r="E37" s="230"/>
      <c r="F37" s="231"/>
      <c r="G37" s="86">
        <v>2892</v>
      </c>
      <c r="H37" s="86">
        <v>1028</v>
      </c>
      <c r="I37" s="86">
        <v>4326</v>
      </c>
      <c r="J37" s="85">
        <v>4805</v>
      </c>
      <c r="K37" s="85">
        <v>5430.32</v>
      </c>
      <c r="L37" s="85">
        <v>3713</v>
      </c>
      <c r="M37" s="85">
        <v>3994</v>
      </c>
      <c r="N37" s="85">
        <v>3750</v>
      </c>
      <c r="O37" s="15"/>
      <c r="P37" s="15"/>
      <c r="Q37" s="15"/>
    </row>
    <row r="38" spans="2:17" x14ac:dyDescent="0.2">
      <c r="B38" s="87"/>
      <c r="C38" s="87"/>
      <c r="D38" s="229" t="s">
        <v>45</v>
      </c>
      <c r="E38" s="230"/>
      <c r="F38" s="231"/>
      <c r="G38" s="86">
        <v>2272</v>
      </c>
      <c r="H38" s="86">
        <v>1171</v>
      </c>
      <c r="I38" s="86">
        <v>1144</v>
      </c>
      <c r="J38" s="85">
        <v>4481</v>
      </c>
      <c r="K38" s="85">
        <v>80</v>
      </c>
      <c r="L38" s="85">
        <v>0</v>
      </c>
      <c r="M38" s="85">
        <v>0</v>
      </c>
      <c r="N38" s="85">
        <v>0</v>
      </c>
      <c r="O38" s="15"/>
      <c r="P38" s="15"/>
      <c r="Q38" s="15"/>
    </row>
    <row r="39" spans="2:17" x14ac:dyDescent="0.2">
      <c r="B39" s="87"/>
      <c r="C39" s="87"/>
      <c r="D39" s="229" t="s">
        <v>46</v>
      </c>
      <c r="E39" s="230"/>
      <c r="F39" s="231"/>
      <c r="G39" s="86">
        <v>51710</v>
      </c>
      <c r="H39" s="86">
        <v>42775</v>
      </c>
      <c r="I39" s="86">
        <v>47630</v>
      </c>
      <c r="J39" s="85">
        <v>36143</v>
      </c>
      <c r="K39" s="85">
        <v>32865</v>
      </c>
      <c r="L39" s="85">
        <v>43700</v>
      </c>
      <c r="M39" s="85">
        <v>46564</v>
      </c>
      <c r="N39" s="85">
        <v>45000</v>
      </c>
      <c r="O39" s="15"/>
      <c r="P39" s="15"/>
      <c r="Q39" s="15"/>
    </row>
    <row r="40" spans="2:17" x14ac:dyDescent="0.2">
      <c r="B40" s="87"/>
      <c r="C40" s="87"/>
      <c r="D40" s="229" t="s">
        <v>47</v>
      </c>
      <c r="E40" s="230"/>
      <c r="F40" s="231"/>
      <c r="G40" s="86">
        <v>120</v>
      </c>
      <c r="H40" s="86">
        <v>120</v>
      </c>
      <c r="I40" s="86">
        <v>150</v>
      </c>
      <c r="J40" s="85">
        <v>95</v>
      </c>
      <c r="K40" s="85">
        <v>80</v>
      </c>
      <c r="L40" s="85">
        <v>90</v>
      </c>
      <c r="M40" s="85">
        <v>0</v>
      </c>
      <c r="N40" s="85">
        <v>0</v>
      </c>
      <c r="O40" s="15"/>
      <c r="P40" s="15"/>
      <c r="Q40" s="15"/>
    </row>
    <row r="41" spans="2:17" x14ac:dyDescent="0.2">
      <c r="B41" s="87"/>
      <c r="C41" s="87"/>
      <c r="D41" s="229" t="s">
        <v>48</v>
      </c>
      <c r="E41" s="230"/>
      <c r="F41" s="231"/>
      <c r="G41" s="86">
        <v>19090</v>
      </c>
      <c r="H41" s="86">
        <v>57498</v>
      </c>
      <c r="I41" s="86">
        <v>172889</v>
      </c>
      <c r="J41" s="85">
        <v>173276</v>
      </c>
      <c r="K41" s="85">
        <v>277775</v>
      </c>
      <c r="L41" s="85">
        <v>220000</v>
      </c>
      <c r="M41" s="85">
        <v>501662</v>
      </c>
      <c r="N41" s="85">
        <v>350000</v>
      </c>
      <c r="O41" s="15"/>
      <c r="P41" s="15"/>
      <c r="Q41" s="15"/>
    </row>
    <row r="42" spans="2:17" x14ac:dyDescent="0.2">
      <c r="B42" s="87"/>
      <c r="C42" s="87"/>
      <c r="D42" s="229" t="s">
        <v>49</v>
      </c>
      <c r="E42" s="230"/>
      <c r="F42" s="231"/>
      <c r="G42" s="86">
        <v>0</v>
      </c>
      <c r="H42" s="86">
        <v>3000</v>
      </c>
      <c r="I42" s="86">
        <v>0</v>
      </c>
      <c r="J42" s="85">
        <v>0</v>
      </c>
      <c r="K42" s="85">
        <v>0</v>
      </c>
      <c r="L42" s="85">
        <v>0</v>
      </c>
      <c r="M42" s="85">
        <v>0</v>
      </c>
      <c r="N42" s="85">
        <v>0</v>
      </c>
      <c r="O42" s="15"/>
      <c r="P42" s="15"/>
      <c r="Q42" s="15"/>
    </row>
    <row r="43" spans="2:17" x14ac:dyDescent="0.2">
      <c r="B43" s="87"/>
      <c r="C43" s="87"/>
      <c r="D43" s="229" t="s">
        <v>50</v>
      </c>
      <c r="E43" s="230"/>
      <c r="F43" s="231"/>
      <c r="G43" s="86">
        <v>57505</v>
      </c>
      <c r="H43" s="86">
        <v>35063</v>
      </c>
      <c r="I43" s="86">
        <v>24312</v>
      </c>
      <c r="J43" s="85">
        <v>27130</v>
      </c>
      <c r="K43" s="85">
        <v>28106</v>
      </c>
      <c r="L43" s="85">
        <v>25000</v>
      </c>
      <c r="M43" s="85">
        <v>23641</v>
      </c>
      <c r="N43" s="85">
        <v>25000</v>
      </c>
      <c r="O43" s="15"/>
      <c r="P43" s="15"/>
      <c r="Q43" s="15"/>
    </row>
    <row r="44" spans="2:17" x14ac:dyDescent="0.2">
      <c r="B44" s="87"/>
      <c r="C44" s="87"/>
      <c r="D44" s="229" t="s">
        <v>51</v>
      </c>
      <c r="E44" s="230"/>
      <c r="F44" s="231"/>
      <c r="G44" s="86">
        <v>0</v>
      </c>
      <c r="H44" s="86">
        <v>0</v>
      </c>
      <c r="I44" s="86">
        <v>0</v>
      </c>
      <c r="J44" s="85">
        <v>0</v>
      </c>
      <c r="K44" s="85">
        <v>0</v>
      </c>
      <c r="L44" s="85">
        <v>0</v>
      </c>
      <c r="M44" s="85">
        <v>0</v>
      </c>
      <c r="N44" s="85">
        <v>1618518</v>
      </c>
      <c r="O44" s="15"/>
      <c r="P44" s="15"/>
      <c r="Q44" s="15"/>
    </row>
    <row r="45" spans="2:17" x14ac:dyDescent="0.2">
      <c r="B45" s="87"/>
      <c r="C45" s="87"/>
      <c r="D45" s="229" t="s">
        <v>52</v>
      </c>
      <c r="E45" s="230"/>
      <c r="F45" s="231"/>
      <c r="G45" s="86">
        <v>0</v>
      </c>
      <c r="H45" s="86">
        <v>0</v>
      </c>
      <c r="I45" s="86">
        <v>0</v>
      </c>
      <c r="J45" s="85">
        <v>0</v>
      </c>
      <c r="K45" s="85">
        <v>0</v>
      </c>
      <c r="L45" s="85">
        <v>0</v>
      </c>
      <c r="M45" s="85">
        <v>0</v>
      </c>
      <c r="N45" s="85">
        <v>1823683</v>
      </c>
      <c r="O45" s="15"/>
      <c r="P45" s="15"/>
      <c r="Q45" s="15"/>
    </row>
    <row r="46" spans="2:17" x14ac:dyDescent="0.2">
      <c r="B46" s="87"/>
      <c r="C46" s="87"/>
      <c r="D46" s="229" t="s">
        <v>53</v>
      </c>
      <c r="E46" s="230"/>
      <c r="F46" s="231"/>
      <c r="G46" s="86">
        <v>0</v>
      </c>
      <c r="H46" s="86">
        <v>0</v>
      </c>
      <c r="I46" s="86">
        <v>0</v>
      </c>
      <c r="J46" s="85">
        <v>0</v>
      </c>
      <c r="K46" s="85">
        <v>0</v>
      </c>
      <c r="L46" s="85">
        <v>0</v>
      </c>
      <c r="M46" s="85">
        <v>0</v>
      </c>
      <c r="N46" s="85">
        <v>2557799</v>
      </c>
      <c r="O46" s="15"/>
      <c r="P46" s="15"/>
      <c r="Q46" s="15"/>
    </row>
    <row r="47" spans="2:17" x14ac:dyDescent="0.2">
      <c r="B47" s="87"/>
      <c r="C47" s="87"/>
      <c r="D47" s="229" t="s">
        <v>54</v>
      </c>
      <c r="E47" s="230"/>
      <c r="F47" s="231"/>
      <c r="G47" s="86">
        <v>109330</v>
      </c>
      <c r="H47" s="86">
        <v>7558</v>
      </c>
      <c r="I47" s="86">
        <v>22524</v>
      </c>
      <c r="J47" s="85">
        <v>10721</v>
      </c>
      <c r="K47" s="85">
        <v>2120</v>
      </c>
      <c r="L47" s="85">
        <v>16020</v>
      </c>
      <c r="M47" s="85">
        <v>61921</v>
      </c>
      <c r="N47" s="85">
        <v>15000</v>
      </c>
      <c r="O47" s="15"/>
      <c r="P47" s="15"/>
      <c r="Q47" s="15"/>
    </row>
    <row r="48" spans="2:17" x14ac:dyDescent="0.2">
      <c r="B48" s="87"/>
      <c r="C48" s="87"/>
      <c r="D48" s="229" t="s">
        <v>55</v>
      </c>
      <c r="E48" s="230"/>
      <c r="F48" s="231"/>
      <c r="G48" s="86">
        <v>1957484</v>
      </c>
      <c r="H48" s="86">
        <v>2326448</v>
      </c>
      <c r="I48" s="86">
        <v>2317518</v>
      </c>
      <c r="J48" s="85">
        <v>2735617</v>
      </c>
      <c r="K48" s="85">
        <v>2424345.4</v>
      </c>
      <c r="L48" s="85">
        <v>3788719</v>
      </c>
      <c r="M48" s="85">
        <v>2224335</v>
      </c>
      <c r="N48" s="85">
        <v>3750000</v>
      </c>
      <c r="O48" s="15"/>
      <c r="P48" s="15"/>
      <c r="Q48" s="15"/>
    </row>
    <row r="49" spans="2:17" x14ac:dyDescent="0.2">
      <c r="B49" s="87"/>
      <c r="C49" s="87"/>
      <c r="D49" s="229" t="s">
        <v>56</v>
      </c>
      <c r="E49" s="230"/>
      <c r="F49" s="231"/>
      <c r="G49" s="86">
        <v>2413</v>
      </c>
      <c r="H49" s="86">
        <v>2396</v>
      </c>
      <c r="I49" s="86">
        <v>1707</v>
      </c>
      <c r="J49" s="85">
        <v>3361</v>
      </c>
      <c r="K49" s="85">
        <v>3456.57</v>
      </c>
      <c r="L49" s="85">
        <v>2000</v>
      </c>
      <c r="M49" s="85">
        <v>43</v>
      </c>
      <c r="N49" s="85">
        <v>2500</v>
      </c>
      <c r="O49" s="15"/>
      <c r="P49" s="15"/>
      <c r="Q49" s="15"/>
    </row>
    <row r="50" spans="2:17" x14ac:dyDescent="0.2">
      <c r="B50" s="87"/>
      <c r="C50" s="87"/>
      <c r="D50" s="229" t="s">
        <v>57</v>
      </c>
      <c r="E50" s="230"/>
      <c r="F50" s="231"/>
      <c r="G50" s="86">
        <v>565</v>
      </c>
      <c r="H50" s="86">
        <v>210</v>
      </c>
      <c r="I50" s="86">
        <v>60</v>
      </c>
      <c r="J50" s="85">
        <v>140</v>
      </c>
      <c r="K50" s="85">
        <v>346.32</v>
      </c>
      <c r="L50" s="85">
        <v>180</v>
      </c>
      <c r="M50" s="85">
        <v>1893</v>
      </c>
      <c r="N50" s="85">
        <v>2000</v>
      </c>
      <c r="O50" s="15"/>
      <c r="P50" s="15"/>
      <c r="Q50" s="15"/>
    </row>
    <row r="51" spans="2:17" x14ac:dyDescent="0.2">
      <c r="B51" s="87"/>
      <c r="C51" s="87"/>
      <c r="D51" s="229" t="s">
        <v>58</v>
      </c>
      <c r="E51" s="230"/>
      <c r="F51" s="231"/>
      <c r="G51" s="86">
        <v>229994</v>
      </c>
      <c r="H51" s="86">
        <v>86817</v>
      </c>
      <c r="I51" s="86">
        <v>9539782</v>
      </c>
      <c r="J51" s="85">
        <v>184425</v>
      </c>
      <c r="K51" s="85">
        <v>167617</v>
      </c>
      <c r="L51" s="85">
        <v>79568</v>
      </c>
      <c r="M51" s="85">
        <v>75000</v>
      </c>
      <c r="N51" s="85">
        <v>175000</v>
      </c>
      <c r="O51" s="15"/>
      <c r="P51" s="15"/>
      <c r="Q51" s="15"/>
    </row>
    <row r="52" spans="2:17" x14ac:dyDescent="0.2">
      <c r="B52" s="87"/>
      <c r="C52" s="256" t="s">
        <v>59</v>
      </c>
      <c r="D52" s="257"/>
      <c r="E52" s="257"/>
      <c r="F52" s="258"/>
      <c r="G52" s="89">
        <f t="shared" ref="G52:N52" si="6">G53</f>
        <v>43740</v>
      </c>
      <c r="H52" s="89">
        <f t="shared" si="6"/>
        <v>41229</v>
      </c>
      <c r="I52" s="89">
        <f t="shared" si="6"/>
        <v>53093</v>
      </c>
      <c r="J52" s="89">
        <f t="shared" si="6"/>
        <v>53085</v>
      </c>
      <c r="K52" s="89">
        <f t="shared" si="6"/>
        <v>49355.33</v>
      </c>
      <c r="L52" s="89">
        <f t="shared" si="6"/>
        <v>65776</v>
      </c>
      <c r="M52" s="89">
        <f t="shared" si="6"/>
        <v>53269</v>
      </c>
      <c r="N52" s="89">
        <f t="shared" si="6"/>
        <v>60000</v>
      </c>
      <c r="O52" s="24"/>
      <c r="P52" s="24"/>
      <c r="Q52" s="24"/>
    </row>
    <row r="53" spans="2:17" x14ac:dyDescent="0.2">
      <c r="B53" s="87"/>
      <c r="C53" s="87"/>
      <c r="D53" s="259" t="s">
        <v>60</v>
      </c>
      <c r="E53" s="260"/>
      <c r="F53" s="261"/>
      <c r="G53" s="99">
        <v>43740</v>
      </c>
      <c r="H53" s="99">
        <v>41229</v>
      </c>
      <c r="I53" s="99">
        <v>53093</v>
      </c>
      <c r="J53" s="95">
        <v>53085</v>
      </c>
      <c r="K53" s="95">
        <v>49355.33</v>
      </c>
      <c r="L53" s="95">
        <v>65776</v>
      </c>
      <c r="M53" s="95">
        <v>53269</v>
      </c>
      <c r="N53" s="95">
        <v>60000</v>
      </c>
      <c r="O53" s="24"/>
      <c r="P53" s="24"/>
      <c r="Q53" s="24"/>
    </row>
    <row r="54" spans="2:17" x14ac:dyDescent="0.2">
      <c r="B54" s="87"/>
      <c r="C54" s="256" t="s">
        <v>61</v>
      </c>
      <c r="D54" s="257"/>
      <c r="E54" s="257"/>
      <c r="F54" s="258"/>
      <c r="G54" s="96">
        <f t="shared" ref="G54:N54" si="7">SUM(G55:G69)</f>
        <v>2223498</v>
      </c>
      <c r="H54" s="96">
        <f t="shared" si="7"/>
        <v>2315608</v>
      </c>
      <c r="I54" s="96">
        <f t="shared" si="7"/>
        <v>3454425</v>
      </c>
      <c r="J54" s="96">
        <f t="shared" si="7"/>
        <v>3381309</v>
      </c>
      <c r="K54" s="96">
        <f t="shared" si="7"/>
        <v>3585101.5449999999</v>
      </c>
      <c r="L54" s="96">
        <f t="shared" si="7"/>
        <v>3620763</v>
      </c>
      <c r="M54" s="96">
        <f t="shared" si="7"/>
        <v>4438844</v>
      </c>
      <c r="N54" s="96">
        <f t="shared" si="7"/>
        <v>4748000</v>
      </c>
      <c r="O54" s="24"/>
      <c r="P54" s="24"/>
      <c r="Q54" s="24"/>
    </row>
    <row r="55" spans="2:17" x14ac:dyDescent="0.2">
      <c r="B55" s="87"/>
      <c r="C55" s="87"/>
      <c r="D55" s="229" t="s">
        <v>62</v>
      </c>
      <c r="E55" s="230"/>
      <c r="F55" s="231"/>
      <c r="G55" s="86">
        <v>1245</v>
      </c>
      <c r="H55" s="86">
        <v>825</v>
      </c>
      <c r="I55" s="86">
        <v>250</v>
      </c>
      <c r="J55" s="95">
        <v>245</v>
      </c>
      <c r="K55" s="95">
        <v>0</v>
      </c>
      <c r="L55" s="95">
        <v>1030</v>
      </c>
      <c r="M55" s="95">
        <v>0</v>
      </c>
      <c r="N55" s="95">
        <v>0</v>
      </c>
      <c r="O55" s="24"/>
      <c r="P55" s="24"/>
      <c r="Q55" s="24"/>
    </row>
    <row r="56" spans="2:17" x14ac:dyDescent="0.2">
      <c r="B56" s="87"/>
      <c r="C56" s="87"/>
      <c r="D56" s="229" t="s">
        <v>63</v>
      </c>
      <c r="E56" s="230"/>
      <c r="F56" s="231"/>
      <c r="G56" s="86">
        <v>24720</v>
      </c>
      <c r="H56" s="86">
        <v>25040</v>
      </c>
      <c r="I56" s="86">
        <v>22183</v>
      </c>
      <c r="J56" s="85">
        <v>76692</v>
      </c>
      <c r="K56" s="85">
        <v>84218.45</v>
      </c>
      <c r="L56" s="85">
        <v>26523</v>
      </c>
      <c r="M56" s="85">
        <v>104605</v>
      </c>
      <c r="N56" s="85">
        <v>100000</v>
      </c>
      <c r="O56" s="15"/>
      <c r="P56" s="15"/>
      <c r="Q56" s="15"/>
    </row>
    <row r="57" spans="2:17" x14ac:dyDescent="0.2">
      <c r="B57" s="87"/>
      <c r="C57" s="87"/>
      <c r="D57" s="229" t="s">
        <v>64</v>
      </c>
      <c r="E57" s="230"/>
      <c r="F57" s="231"/>
      <c r="G57" s="86">
        <v>0</v>
      </c>
      <c r="H57" s="86">
        <v>0</v>
      </c>
      <c r="I57" s="86">
        <v>0</v>
      </c>
      <c r="J57" s="85">
        <v>228148</v>
      </c>
      <c r="K57" s="85">
        <v>113728.66499999999</v>
      </c>
      <c r="L57" s="85">
        <v>200000</v>
      </c>
      <c r="M57" s="85">
        <v>78983</v>
      </c>
      <c r="N57" s="85">
        <v>228000</v>
      </c>
      <c r="O57" s="15"/>
      <c r="P57" s="15"/>
      <c r="Q57" s="15"/>
    </row>
    <row r="58" spans="2:17" x14ac:dyDescent="0.2">
      <c r="B58" s="87"/>
      <c r="C58" s="87"/>
      <c r="D58" s="229" t="s">
        <v>65</v>
      </c>
      <c r="E58" s="230"/>
      <c r="F58" s="231"/>
      <c r="G58" s="86">
        <v>15650</v>
      </c>
      <c r="H58" s="86">
        <v>0</v>
      </c>
      <c r="I58" s="86">
        <v>46005</v>
      </c>
      <c r="J58" s="85">
        <v>66221</v>
      </c>
      <c r="K58" s="85">
        <v>0</v>
      </c>
      <c r="L58" s="85">
        <v>0</v>
      </c>
      <c r="M58" s="85">
        <v>353596</v>
      </c>
      <c r="N58" s="85">
        <v>168000</v>
      </c>
      <c r="O58" s="15"/>
      <c r="P58" s="15"/>
      <c r="Q58" s="15"/>
    </row>
    <row r="59" spans="2:17" x14ac:dyDescent="0.2">
      <c r="B59" s="87"/>
      <c r="C59" s="87"/>
      <c r="D59" s="229" t="s">
        <v>66</v>
      </c>
      <c r="E59" s="230"/>
      <c r="F59" s="231"/>
      <c r="G59" s="86">
        <v>38000</v>
      </c>
      <c r="H59" s="86">
        <v>41500</v>
      </c>
      <c r="I59" s="86">
        <v>15700</v>
      </c>
      <c r="J59" s="85">
        <v>19900</v>
      </c>
      <c r="K59" s="85">
        <v>24600</v>
      </c>
      <c r="L59" s="85">
        <v>26523</v>
      </c>
      <c r="M59" s="85">
        <v>14464</v>
      </c>
      <c r="N59" s="85">
        <v>25000</v>
      </c>
      <c r="O59" s="15"/>
      <c r="P59" s="15"/>
      <c r="Q59" s="15"/>
    </row>
    <row r="60" spans="2:17" x14ac:dyDescent="0.2">
      <c r="B60" s="87"/>
      <c r="C60" s="87"/>
      <c r="D60" s="229" t="s">
        <v>67</v>
      </c>
      <c r="E60" s="230"/>
      <c r="F60" s="231"/>
      <c r="G60" s="86">
        <v>172024</v>
      </c>
      <c r="H60" s="86">
        <v>246120</v>
      </c>
      <c r="I60" s="86">
        <v>295335</v>
      </c>
      <c r="J60" s="85">
        <v>209735</v>
      </c>
      <c r="K60" s="85">
        <v>145544.63</v>
      </c>
      <c r="L60" s="85">
        <v>371315</v>
      </c>
      <c r="M60" s="85">
        <v>160338</v>
      </c>
      <c r="N60" s="85">
        <v>225000</v>
      </c>
      <c r="O60" s="15"/>
      <c r="P60" s="15"/>
      <c r="Q60" s="15"/>
    </row>
    <row r="61" spans="2:17" x14ac:dyDescent="0.2">
      <c r="B61" s="87"/>
      <c r="C61" s="87"/>
      <c r="D61" s="229" t="s">
        <v>68</v>
      </c>
      <c r="E61" s="230"/>
      <c r="F61" s="231"/>
      <c r="G61" s="86">
        <v>218600</v>
      </c>
      <c r="H61" s="86">
        <v>145800</v>
      </c>
      <c r="I61" s="86">
        <v>128453</v>
      </c>
      <c r="J61" s="85">
        <v>126435</v>
      </c>
      <c r="K61" s="85">
        <v>111770</v>
      </c>
      <c r="L61" s="85">
        <v>127444</v>
      </c>
      <c r="M61" s="85">
        <v>151097</v>
      </c>
      <c r="N61" s="85">
        <v>130000</v>
      </c>
      <c r="O61" s="15"/>
      <c r="P61" s="15"/>
      <c r="Q61" s="15"/>
    </row>
    <row r="62" spans="2:17" x14ac:dyDescent="0.2">
      <c r="B62" s="87"/>
      <c r="C62" s="87"/>
      <c r="D62" s="229" t="s">
        <v>69</v>
      </c>
      <c r="E62" s="230"/>
      <c r="F62" s="231"/>
      <c r="G62" s="86">
        <v>55000</v>
      </c>
      <c r="H62" s="86">
        <v>55000</v>
      </c>
      <c r="I62" s="86">
        <v>0</v>
      </c>
      <c r="J62" s="85">
        <v>0</v>
      </c>
      <c r="K62" s="85">
        <v>0</v>
      </c>
      <c r="L62" s="85">
        <v>0</v>
      </c>
      <c r="M62" s="85">
        <v>0</v>
      </c>
      <c r="N62" s="85">
        <v>0</v>
      </c>
      <c r="O62" s="15"/>
      <c r="P62" s="15"/>
      <c r="Q62" s="15"/>
    </row>
    <row r="63" spans="2:17" x14ac:dyDescent="0.2">
      <c r="B63" s="87"/>
      <c r="C63" s="87"/>
      <c r="D63" s="229" t="s">
        <v>70</v>
      </c>
      <c r="E63" s="230"/>
      <c r="F63" s="231"/>
      <c r="G63" s="86">
        <v>1344944</v>
      </c>
      <c r="H63" s="86">
        <v>1415787</v>
      </c>
      <c r="I63" s="86">
        <v>2469583</v>
      </c>
      <c r="J63" s="85">
        <v>2295805</v>
      </c>
      <c r="K63" s="85">
        <v>2206934.86</v>
      </c>
      <c r="L63" s="85">
        <v>2341721</v>
      </c>
      <c r="M63" s="85">
        <v>3247241</v>
      </c>
      <c r="N63" s="85">
        <v>3500000</v>
      </c>
      <c r="O63" s="15"/>
      <c r="P63" s="15"/>
      <c r="Q63" s="15"/>
    </row>
    <row r="64" spans="2:17" x14ac:dyDescent="0.2">
      <c r="B64" s="87"/>
      <c r="C64" s="87"/>
      <c r="D64" s="229" t="s">
        <v>71</v>
      </c>
      <c r="E64" s="230"/>
      <c r="F64" s="231"/>
      <c r="G64" s="86">
        <v>143770</v>
      </c>
      <c r="H64" s="86">
        <v>229173</v>
      </c>
      <c r="I64" s="86">
        <v>237241</v>
      </c>
      <c r="J64" s="85">
        <v>119915</v>
      </c>
      <c r="K64" s="85">
        <v>62390</v>
      </c>
      <c r="L64" s="85">
        <v>318270</v>
      </c>
      <c r="M64" s="85">
        <v>89551</v>
      </c>
      <c r="N64" s="85">
        <v>158500</v>
      </c>
      <c r="O64" s="15"/>
      <c r="P64" s="15"/>
      <c r="Q64" s="15"/>
    </row>
    <row r="65" spans="2:17" x14ac:dyDescent="0.2">
      <c r="B65" s="87"/>
      <c r="C65" s="87"/>
      <c r="D65" s="229" t="s">
        <v>72</v>
      </c>
      <c r="E65" s="230"/>
      <c r="F65" s="231"/>
      <c r="G65" s="86">
        <v>1450</v>
      </c>
      <c r="H65" s="86">
        <v>1075</v>
      </c>
      <c r="I65" s="86">
        <v>1925</v>
      </c>
      <c r="J65" s="85">
        <v>1375</v>
      </c>
      <c r="K65" s="85">
        <v>25</v>
      </c>
      <c r="L65" s="85">
        <v>1061</v>
      </c>
      <c r="M65" s="85">
        <v>0</v>
      </c>
      <c r="N65" s="85">
        <v>500</v>
      </c>
      <c r="O65" s="15"/>
      <c r="P65" s="15"/>
      <c r="Q65" s="15"/>
    </row>
    <row r="66" spans="2:17" x14ac:dyDescent="0.2">
      <c r="B66" s="87"/>
      <c r="C66" s="87"/>
      <c r="D66" s="229" t="s">
        <v>73</v>
      </c>
      <c r="E66" s="230"/>
      <c r="F66" s="231"/>
      <c r="G66" s="86">
        <v>48695</v>
      </c>
      <c r="H66" s="86">
        <v>43763</v>
      </c>
      <c r="I66" s="86">
        <v>34140</v>
      </c>
      <c r="J66" s="85">
        <v>22310</v>
      </c>
      <c r="K66" s="85">
        <v>17807</v>
      </c>
      <c r="L66" s="85">
        <v>37132</v>
      </c>
      <c r="M66" s="85">
        <v>25714</v>
      </c>
      <c r="N66" s="85">
        <v>35000</v>
      </c>
      <c r="O66" s="15"/>
      <c r="P66" s="15"/>
      <c r="Q66" s="15"/>
    </row>
    <row r="67" spans="2:17" x14ac:dyDescent="0.2">
      <c r="B67" s="87"/>
      <c r="C67" s="87"/>
      <c r="D67" s="229" t="s">
        <v>74</v>
      </c>
      <c r="E67" s="230"/>
      <c r="F67" s="231"/>
      <c r="G67" s="86">
        <v>60625</v>
      </c>
      <c r="H67" s="86">
        <v>52825</v>
      </c>
      <c r="I67" s="86">
        <v>52725</v>
      </c>
      <c r="J67" s="85">
        <v>58675</v>
      </c>
      <c r="K67" s="85">
        <v>56700</v>
      </c>
      <c r="L67" s="85">
        <v>53045</v>
      </c>
      <c r="M67" s="85">
        <v>54818</v>
      </c>
      <c r="N67" s="85">
        <v>56000</v>
      </c>
      <c r="O67" s="15"/>
      <c r="P67" s="15"/>
      <c r="Q67" s="15"/>
    </row>
    <row r="68" spans="2:17" x14ac:dyDescent="0.2">
      <c r="B68" s="87"/>
      <c r="C68" s="87"/>
      <c r="D68" s="229" t="s">
        <v>75</v>
      </c>
      <c r="E68" s="230"/>
      <c r="F68" s="231"/>
      <c r="G68" s="86">
        <v>9775</v>
      </c>
      <c r="H68" s="86">
        <v>11200</v>
      </c>
      <c r="I68" s="86">
        <v>87885</v>
      </c>
      <c r="J68" s="85">
        <v>46853</v>
      </c>
      <c r="K68" s="85">
        <v>660882.93999999994</v>
      </c>
      <c r="L68" s="85">
        <v>10609</v>
      </c>
      <c r="M68" s="85">
        <v>34841</v>
      </c>
      <c r="N68" s="85">
        <v>12000</v>
      </c>
      <c r="O68" s="15"/>
      <c r="P68" s="15"/>
      <c r="Q68" s="15"/>
    </row>
    <row r="69" spans="2:17" x14ac:dyDescent="0.2">
      <c r="B69" s="87"/>
      <c r="C69" s="87"/>
      <c r="D69" s="229" t="s">
        <v>76</v>
      </c>
      <c r="E69" s="230"/>
      <c r="F69" s="231"/>
      <c r="G69" s="86">
        <v>89000</v>
      </c>
      <c r="H69" s="86">
        <v>47500</v>
      </c>
      <c r="I69" s="86">
        <v>63000</v>
      </c>
      <c r="J69" s="85">
        <v>109000</v>
      </c>
      <c r="K69" s="85">
        <v>100500</v>
      </c>
      <c r="L69" s="85">
        <v>106090</v>
      </c>
      <c r="M69" s="85">
        <v>123596</v>
      </c>
      <c r="N69" s="85">
        <v>110000</v>
      </c>
      <c r="O69" s="15"/>
      <c r="P69" s="15"/>
      <c r="Q69" s="15"/>
    </row>
    <row r="70" spans="2:17" x14ac:dyDescent="0.2">
      <c r="B70" s="87"/>
      <c r="C70" s="256" t="s">
        <v>77</v>
      </c>
      <c r="D70" s="257"/>
      <c r="E70" s="257"/>
      <c r="F70" s="258"/>
      <c r="G70" s="94">
        <f t="shared" ref="G70:N70" si="8">SUM(G71:G76)</f>
        <v>558494</v>
      </c>
      <c r="H70" s="94">
        <f t="shared" si="8"/>
        <v>427538</v>
      </c>
      <c r="I70" s="94">
        <f t="shared" si="8"/>
        <v>941003</v>
      </c>
      <c r="J70" s="94">
        <f t="shared" si="8"/>
        <v>819700</v>
      </c>
      <c r="K70" s="94">
        <f t="shared" si="8"/>
        <v>719884.21</v>
      </c>
      <c r="L70" s="94">
        <f t="shared" si="8"/>
        <v>1035305</v>
      </c>
      <c r="M70" s="94">
        <f t="shared" si="8"/>
        <v>704082</v>
      </c>
      <c r="N70" s="94">
        <f t="shared" si="8"/>
        <v>755000</v>
      </c>
      <c r="O70" s="15"/>
      <c r="P70" s="15"/>
      <c r="Q70" s="15"/>
    </row>
    <row r="71" spans="2:17" x14ac:dyDescent="0.2">
      <c r="B71" s="87"/>
      <c r="C71" s="87"/>
      <c r="D71" s="229" t="s">
        <v>78</v>
      </c>
      <c r="E71" s="230"/>
      <c r="F71" s="231"/>
      <c r="G71" s="86">
        <v>49086</v>
      </c>
      <c r="H71" s="86">
        <v>0</v>
      </c>
      <c r="I71" s="86">
        <v>39100</v>
      </c>
      <c r="J71" s="95">
        <v>42750</v>
      </c>
      <c r="K71" s="85">
        <v>0</v>
      </c>
      <c r="L71" s="95">
        <v>0</v>
      </c>
      <c r="M71" s="95">
        <v>0</v>
      </c>
      <c r="N71" s="95">
        <v>0</v>
      </c>
      <c r="O71" s="24"/>
      <c r="P71" s="24"/>
      <c r="Q71" s="24"/>
    </row>
    <row r="72" spans="2:17" x14ac:dyDescent="0.2">
      <c r="B72" s="87"/>
      <c r="C72" s="87"/>
      <c r="D72" s="229" t="s">
        <v>79</v>
      </c>
      <c r="E72" s="230"/>
      <c r="F72" s="231"/>
      <c r="G72" s="86">
        <v>372035</v>
      </c>
      <c r="H72" s="86">
        <v>353144</v>
      </c>
      <c r="I72" s="86">
        <v>626846</v>
      </c>
      <c r="J72" s="85">
        <v>537081</v>
      </c>
      <c r="K72" s="85">
        <v>533115.21</v>
      </c>
      <c r="L72" s="85">
        <v>772500</v>
      </c>
      <c r="M72" s="85">
        <v>484500</v>
      </c>
      <c r="N72" s="85">
        <v>550000</v>
      </c>
      <c r="O72" s="15"/>
      <c r="P72" s="15"/>
      <c r="Q72" s="15"/>
    </row>
    <row r="73" spans="2:17" x14ac:dyDescent="0.2">
      <c r="B73" s="87"/>
      <c r="C73" s="87"/>
      <c r="D73" s="229" t="s">
        <v>80</v>
      </c>
      <c r="E73" s="230"/>
      <c r="F73" s="231"/>
      <c r="G73" s="86">
        <v>129283</v>
      </c>
      <c r="H73" s="86">
        <v>72927</v>
      </c>
      <c r="I73" s="86">
        <v>251748</v>
      </c>
      <c r="J73" s="85">
        <v>213113</v>
      </c>
      <c r="K73" s="85">
        <v>186769</v>
      </c>
      <c r="L73" s="85">
        <v>257500</v>
      </c>
      <c r="M73" s="85">
        <v>193465</v>
      </c>
      <c r="N73" s="85">
        <v>200000</v>
      </c>
      <c r="O73" s="15"/>
      <c r="P73" s="15"/>
      <c r="Q73" s="15"/>
    </row>
    <row r="74" spans="2:17" x14ac:dyDescent="0.2">
      <c r="B74" s="87"/>
      <c r="C74" s="87"/>
      <c r="D74" s="229" t="s">
        <v>81</v>
      </c>
      <c r="E74" s="230"/>
      <c r="F74" s="231"/>
      <c r="G74" s="86">
        <v>4780</v>
      </c>
      <c r="H74" s="86">
        <v>0</v>
      </c>
      <c r="I74" s="86">
        <v>0</v>
      </c>
      <c r="J74" s="85">
        <v>3300</v>
      </c>
      <c r="K74" s="85">
        <v>0</v>
      </c>
      <c r="L74" s="85">
        <v>5305</v>
      </c>
      <c r="M74" s="85">
        <v>0</v>
      </c>
      <c r="N74" s="85">
        <v>5000</v>
      </c>
      <c r="O74" s="15"/>
      <c r="P74" s="15"/>
      <c r="Q74" s="15"/>
    </row>
    <row r="75" spans="2:17" x14ac:dyDescent="0.2">
      <c r="B75" s="87"/>
      <c r="C75" s="87"/>
      <c r="D75" s="229" t="s">
        <v>82</v>
      </c>
      <c r="E75" s="230"/>
      <c r="F75" s="231"/>
      <c r="G75" s="86">
        <v>0</v>
      </c>
      <c r="H75" s="86">
        <v>0</v>
      </c>
      <c r="I75" s="86">
        <v>20826</v>
      </c>
      <c r="J75" s="85">
        <v>23356</v>
      </c>
      <c r="K75" s="85">
        <v>0</v>
      </c>
      <c r="L75" s="85">
        <v>0</v>
      </c>
      <c r="M75" s="85">
        <v>26117</v>
      </c>
      <c r="N75" s="85">
        <v>0</v>
      </c>
      <c r="O75" s="15"/>
      <c r="P75" s="15"/>
      <c r="Q75" s="15"/>
    </row>
    <row r="76" spans="2:17" x14ac:dyDescent="0.2">
      <c r="B76" s="87"/>
      <c r="C76" s="87"/>
      <c r="D76" s="229" t="s">
        <v>83</v>
      </c>
      <c r="E76" s="230"/>
      <c r="F76" s="231"/>
      <c r="G76" s="86">
        <v>3310</v>
      </c>
      <c r="H76" s="86">
        <v>1467</v>
      </c>
      <c r="I76" s="86">
        <v>2483</v>
      </c>
      <c r="J76" s="85">
        <v>100</v>
      </c>
      <c r="K76" s="85">
        <v>0</v>
      </c>
      <c r="L76" s="85">
        <v>0</v>
      </c>
      <c r="M76" s="85">
        <v>0</v>
      </c>
      <c r="N76" s="85">
        <v>0</v>
      </c>
      <c r="O76" s="15"/>
      <c r="P76" s="15"/>
      <c r="Q76" s="15"/>
    </row>
    <row r="77" spans="2:17" x14ac:dyDescent="0.2">
      <c r="B77" s="87"/>
      <c r="C77" s="256" t="s">
        <v>84</v>
      </c>
      <c r="D77" s="257"/>
      <c r="E77" s="257"/>
      <c r="F77" s="258"/>
      <c r="G77" s="96">
        <f t="shared" ref="G77:N77" si="9">SUM(G78:G81)</f>
        <v>62920</v>
      </c>
      <c r="H77" s="96">
        <f t="shared" si="9"/>
        <v>38071</v>
      </c>
      <c r="I77" s="96">
        <f t="shared" si="9"/>
        <v>180039</v>
      </c>
      <c r="J77" s="96">
        <f t="shared" si="9"/>
        <v>83673</v>
      </c>
      <c r="K77" s="96">
        <f t="shared" si="9"/>
        <v>737038.53</v>
      </c>
      <c r="L77" s="96">
        <f t="shared" si="9"/>
        <v>484314</v>
      </c>
      <c r="M77" s="96">
        <f t="shared" si="9"/>
        <v>344350</v>
      </c>
      <c r="N77" s="96">
        <f t="shared" si="9"/>
        <v>406000</v>
      </c>
      <c r="O77" s="24"/>
      <c r="P77" s="24"/>
      <c r="Q77" s="24"/>
    </row>
    <row r="78" spans="2:17" x14ac:dyDescent="0.2">
      <c r="B78" s="87"/>
      <c r="C78" s="87"/>
      <c r="D78" s="229" t="s">
        <v>85</v>
      </c>
      <c r="E78" s="230"/>
      <c r="F78" s="231"/>
      <c r="G78" s="86">
        <v>31070</v>
      </c>
      <c r="H78" s="86">
        <v>12821</v>
      </c>
      <c r="I78" s="86">
        <v>158864</v>
      </c>
      <c r="J78" s="95">
        <v>9517</v>
      </c>
      <c r="K78" s="95">
        <v>17827.75</v>
      </c>
      <c r="L78" s="95">
        <v>21218</v>
      </c>
      <c r="M78" s="95">
        <v>36949</v>
      </c>
      <c r="N78" s="95">
        <v>40000</v>
      </c>
      <c r="O78" s="15"/>
      <c r="P78" s="15"/>
      <c r="Q78" s="15"/>
    </row>
    <row r="79" spans="2:17" x14ac:dyDescent="0.2">
      <c r="B79" s="87"/>
      <c r="C79" s="87"/>
      <c r="D79" s="229" t="s">
        <v>86</v>
      </c>
      <c r="E79" s="230"/>
      <c r="F79" s="231"/>
      <c r="G79" s="86">
        <v>8350</v>
      </c>
      <c r="H79" s="86">
        <v>7670</v>
      </c>
      <c r="I79" s="86">
        <v>8100</v>
      </c>
      <c r="J79" s="85">
        <v>7250</v>
      </c>
      <c r="K79" s="85">
        <v>6770</v>
      </c>
      <c r="L79" s="85">
        <v>8487</v>
      </c>
      <c r="M79" s="85">
        <v>235</v>
      </c>
      <c r="N79" s="85">
        <v>5000</v>
      </c>
      <c r="O79" s="15"/>
      <c r="P79" s="15"/>
      <c r="Q79" s="15"/>
    </row>
    <row r="80" spans="2:17" x14ac:dyDescent="0.2">
      <c r="B80" s="87"/>
      <c r="C80" s="87"/>
      <c r="D80" s="229" t="s">
        <v>87</v>
      </c>
      <c r="E80" s="230"/>
      <c r="F80" s="231"/>
      <c r="G80" s="86">
        <v>23500</v>
      </c>
      <c r="H80" s="86">
        <v>17580</v>
      </c>
      <c r="I80" s="86">
        <v>13075</v>
      </c>
      <c r="J80" s="85">
        <v>11650</v>
      </c>
      <c r="K80" s="85">
        <v>63975</v>
      </c>
      <c r="L80" s="85">
        <v>10609</v>
      </c>
      <c r="M80" s="85">
        <v>10894</v>
      </c>
      <c r="N80" s="85">
        <v>11000</v>
      </c>
      <c r="O80" s="15"/>
      <c r="P80" s="15"/>
      <c r="Q80" s="15"/>
    </row>
    <row r="81" spans="2:17" x14ac:dyDescent="0.2">
      <c r="B81" s="87"/>
      <c r="C81" s="97"/>
      <c r="D81" s="265" t="s">
        <v>88</v>
      </c>
      <c r="E81" s="266"/>
      <c r="F81" s="267"/>
      <c r="G81" s="86">
        <v>0</v>
      </c>
      <c r="H81" s="86">
        <v>0</v>
      </c>
      <c r="I81" s="86">
        <v>0</v>
      </c>
      <c r="J81" s="85">
        <v>55256</v>
      </c>
      <c r="K81" s="85">
        <v>648465.78</v>
      </c>
      <c r="L81" s="85">
        <v>444000</v>
      </c>
      <c r="M81" s="85">
        <v>296272</v>
      </c>
      <c r="N81" s="85">
        <v>350000</v>
      </c>
      <c r="O81" s="15"/>
      <c r="P81" s="15"/>
      <c r="Q81" s="15"/>
    </row>
    <row r="82" spans="2:17" x14ac:dyDescent="0.2">
      <c r="B82" s="87"/>
      <c r="C82" s="262" t="s">
        <v>89</v>
      </c>
      <c r="D82" s="263"/>
      <c r="E82" s="263"/>
      <c r="F82" s="264"/>
      <c r="G82" s="96">
        <f t="shared" ref="G82:N82" si="10">SUM(G83:G90)</f>
        <v>1301076</v>
      </c>
      <c r="H82" s="96">
        <f t="shared" si="10"/>
        <v>1177799</v>
      </c>
      <c r="I82" s="96">
        <f t="shared" si="10"/>
        <v>1530952</v>
      </c>
      <c r="J82" s="96">
        <f t="shared" si="10"/>
        <v>1542456</v>
      </c>
      <c r="K82" s="96">
        <f t="shared" si="10"/>
        <v>3266812.3</v>
      </c>
      <c r="L82" s="96">
        <f t="shared" si="10"/>
        <v>1647150</v>
      </c>
      <c r="M82" s="96">
        <f t="shared" si="10"/>
        <v>3508845</v>
      </c>
      <c r="N82" s="96">
        <f t="shared" si="10"/>
        <v>2162500</v>
      </c>
      <c r="O82" s="24"/>
      <c r="P82" s="24"/>
      <c r="Q82" s="24"/>
    </row>
    <row r="83" spans="2:17" x14ac:dyDescent="0.2">
      <c r="B83" s="87"/>
      <c r="C83" s="97"/>
      <c r="D83" s="265" t="s">
        <v>90</v>
      </c>
      <c r="E83" s="266"/>
      <c r="F83" s="267"/>
      <c r="G83" s="86">
        <v>28988</v>
      </c>
      <c r="H83" s="86">
        <v>43177</v>
      </c>
      <c r="I83" s="86">
        <v>24124</v>
      </c>
      <c r="J83" s="95">
        <v>27553</v>
      </c>
      <c r="K83" s="95">
        <v>6407.55</v>
      </c>
      <c r="L83" s="95">
        <v>25750</v>
      </c>
      <c r="M83" s="95">
        <v>8284</v>
      </c>
      <c r="N83" s="95">
        <v>25000</v>
      </c>
      <c r="O83" s="24"/>
      <c r="P83" s="24"/>
      <c r="Q83" s="24"/>
    </row>
    <row r="84" spans="2:17" x14ac:dyDescent="0.2">
      <c r="B84" s="87"/>
      <c r="C84" s="97"/>
      <c r="D84" s="265" t="s">
        <v>91</v>
      </c>
      <c r="E84" s="266"/>
      <c r="F84" s="267"/>
      <c r="G84" s="86">
        <v>0</v>
      </c>
      <c r="H84" s="86">
        <v>8173</v>
      </c>
      <c r="I84" s="86">
        <v>43055</v>
      </c>
      <c r="J84" s="85">
        <v>0</v>
      </c>
      <c r="K84" s="95">
        <v>0</v>
      </c>
      <c r="L84" s="85">
        <v>0</v>
      </c>
      <c r="M84" s="85">
        <v>0</v>
      </c>
      <c r="N84" s="85">
        <v>0</v>
      </c>
      <c r="O84" s="15"/>
      <c r="P84" s="15"/>
      <c r="Q84" s="15"/>
    </row>
    <row r="85" spans="2:17" x14ac:dyDescent="0.2">
      <c r="B85" s="87"/>
      <c r="C85" s="97"/>
      <c r="D85" s="265" t="s">
        <v>92</v>
      </c>
      <c r="E85" s="266"/>
      <c r="F85" s="267"/>
      <c r="G85" s="86">
        <v>12823</v>
      </c>
      <c r="H85" s="86">
        <v>2940</v>
      </c>
      <c r="I85" s="86">
        <v>7491</v>
      </c>
      <c r="J85" s="85">
        <v>2165</v>
      </c>
      <c r="K85" s="95">
        <v>0</v>
      </c>
      <c r="L85" s="85">
        <v>0</v>
      </c>
      <c r="M85" s="85">
        <v>575</v>
      </c>
      <c r="N85" s="85">
        <v>2500</v>
      </c>
      <c r="O85" s="15"/>
      <c r="P85" s="15"/>
      <c r="Q85" s="15"/>
    </row>
    <row r="86" spans="2:17" x14ac:dyDescent="0.2">
      <c r="B86" s="87"/>
      <c r="C86" s="97"/>
      <c r="D86" s="265" t="s">
        <v>93</v>
      </c>
      <c r="E86" s="266"/>
      <c r="F86" s="267"/>
      <c r="G86" s="86">
        <v>133135</v>
      </c>
      <c r="H86" s="86">
        <v>22080</v>
      </c>
      <c r="I86" s="86">
        <v>101970</v>
      </c>
      <c r="J86" s="85">
        <v>95850</v>
      </c>
      <c r="K86" s="85">
        <v>77360</v>
      </c>
      <c r="L86" s="85">
        <v>97000</v>
      </c>
      <c r="M86" s="85">
        <v>31259</v>
      </c>
      <c r="N86" s="85">
        <v>85000</v>
      </c>
      <c r="O86" s="15"/>
      <c r="P86" s="15"/>
      <c r="Q86" s="15"/>
    </row>
    <row r="87" spans="2:17" x14ac:dyDescent="0.2">
      <c r="B87" s="87"/>
      <c r="C87" s="97"/>
      <c r="D87" s="265" t="s">
        <v>94</v>
      </c>
      <c r="E87" s="266"/>
      <c r="F87" s="267"/>
      <c r="G87" s="86">
        <v>1113423</v>
      </c>
      <c r="H87" s="86">
        <v>949330</v>
      </c>
      <c r="I87" s="86">
        <v>1292035</v>
      </c>
      <c r="J87" s="85">
        <v>1411757</v>
      </c>
      <c r="K87" s="85">
        <v>3024534.48</v>
      </c>
      <c r="L87" s="85">
        <v>1472900</v>
      </c>
      <c r="M87" s="85">
        <v>3390773</v>
      </c>
      <c r="N87" s="85">
        <v>2000000</v>
      </c>
      <c r="O87" s="15"/>
      <c r="P87" s="15"/>
      <c r="Q87" s="15"/>
    </row>
    <row r="88" spans="2:17" x14ac:dyDescent="0.2">
      <c r="B88" s="87"/>
      <c r="C88" s="97"/>
      <c r="D88" s="265" t="s">
        <v>95</v>
      </c>
      <c r="E88" s="266"/>
      <c r="F88" s="267"/>
      <c r="G88" s="86">
        <v>0</v>
      </c>
      <c r="H88" s="86">
        <v>3987</v>
      </c>
      <c r="I88" s="86">
        <v>0</v>
      </c>
      <c r="J88" s="85">
        <v>0</v>
      </c>
      <c r="K88" s="85">
        <v>0</v>
      </c>
      <c r="L88" s="85">
        <v>0</v>
      </c>
      <c r="M88" s="85">
        <v>0</v>
      </c>
      <c r="N88" s="85">
        <v>0</v>
      </c>
      <c r="O88" s="15"/>
      <c r="P88" s="15"/>
      <c r="Q88" s="15"/>
    </row>
    <row r="89" spans="2:17" x14ac:dyDescent="0.2">
      <c r="B89" s="87"/>
      <c r="C89" s="97"/>
      <c r="D89" s="265" t="s">
        <v>96</v>
      </c>
      <c r="E89" s="266"/>
      <c r="F89" s="267"/>
      <c r="G89" s="86">
        <v>0</v>
      </c>
      <c r="H89" s="86">
        <v>147142</v>
      </c>
      <c r="I89" s="86">
        <v>61302</v>
      </c>
      <c r="J89" s="85">
        <v>0</v>
      </c>
      <c r="K89" s="85">
        <v>158510.26999999999</v>
      </c>
      <c r="L89" s="85">
        <v>51500</v>
      </c>
      <c r="M89" s="85">
        <v>77954</v>
      </c>
      <c r="N89" s="85">
        <v>50000</v>
      </c>
      <c r="O89" s="15"/>
      <c r="P89" s="15"/>
      <c r="Q89" s="15"/>
    </row>
    <row r="90" spans="2:17" x14ac:dyDescent="0.2">
      <c r="B90" s="87"/>
      <c r="C90" s="97"/>
      <c r="D90" s="265" t="s">
        <v>97</v>
      </c>
      <c r="E90" s="266"/>
      <c r="F90" s="267"/>
      <c r="G90" s="86">
        <v>12707</v>
      </c>
      <c r="H90" s="86">
        <v>970</v>
      </c>
      <c r="I90" s="86">
        <v>975</v>
      </c>
      <c r="J90" s="85">
        <v>5131</v>
      </c>
      <c r="K90" s="85">
        <v>0</v>
      </c>
      <c r="L90" s="85">
        <v>0</v>
      </c>
      <c r="M90" s="85">
        <v>0</v>
      </c>
      <c r="N90" s="85">
        <v>0</v>
      </c>
      <c r="O90" s="15"/>
      <c r="P90" s="15"/>
      <c r="Q90" s="15"/>
    </row>
    <row r="91" spans="2:17" x14ac:dyDescent="0.2">
      <c r="B91" s="87"/>
      <c r="C91" s="262" t="s">
        <v>98</v>
      </c>
      <c r="D91" s="263"/>
      <c r="E91" s="263"/>
      <c r="F91" s="264"/>
      <c r="G91" s="96">
        <f>SUM(G92:G93)</f>
        <v>459332</v>
      </c>
      <c r="H91" s="96">
        <f t="shared" ref="H91:N91" si="11">SUM(H92:H93)</f>
        <v>325732</v>
      </c>
      <c r="I91" s="96">
        <f t="shared" si="11"/>
        <v>334433</v>
      </c>
      <c r="J91" s="96">
        <f t="shared" si="11"/>
        <v>480514</v>
      </c>
      <c r="K91" s="96">
        <f t="shared" si="11"/>
        <v>222909.2</v>
      </c>
      <c r="L91" s="96">
        <f t="shared" si="11"/>
        <v>450000</v>
      </c>
      <c r="M91" s="96">
        <f t="shared" si="11"/>
        <v>303462</v>
      </c>
      <c r="N91" s="96">
        <f t="shared" si="11"/>
        <v>350000</v>
      </c>
      <c r="O91" s="24"/>
      <c r="P91" s="24"/>
      <c r="Q91" s="24"/>
    </row>
    <row r="92" spans="2:17" x14ac:dyDescent="0.2">
      <c r="B92" s="87"/>
      <c r="C92" s="97"/>
      <c r="D92" s="265" t="s">
        <v>99</v>
      </c>
      <c r="E92" s="266"/>
      <c r="F92" s="267"/>
      <c r="G92" s="86">
        <v>410865</v>
      </c>
      <c r="H92" s="86">
        <v>325732</v>
      </c>
      <c r="I92" s="86">
        <v>334433</v>
      </c>
      <c r="J92" s="95">
        <v>480514</v>
      </c>
      <c r="K92" s="95">
        <v>222909.2</v>
      </c>
      <c r="L92" s="95">
        <v>450000</v>
      </c>
      <c r="M92" s="95">
        <v>303462</v>
      </c>
      <c r="N92" s="95">
        <v>350000</v>
      </c>
      <c r="O92" s="24"/>
      <c r="P92" s="24"/>
      <c r="Q92" s="24"/>
    </row>
    <row r="93" spans="2:17" x14ac:dyDescent="0.2">
      <c r="B93" s="87"/>
      <c r="C93" s="164"/>
      <c r="D93" s="265" t="s">
        <v>100</v>
      </c>
      <c r="E93" s="266"/>
      <c r="F93" s="267"/>
      <c r="G93" s="86">
        <v>48467</v>
      </c>
      <c r="H93" s="86">
        <v>0</v>
      </c>
      <c r="I93" s="86">
        <v>0</v>
      </c>
      <c r="J93" s="95">
        <v>0</v>
      </c>
      <c r="K93" s="95">
        <v>0</v>
      </c>
      <c r="L93" s="95">
        <v>0</v>
      </c>
      <c r="M93" s="95">
        <v>0</v>
      </c>
      <c r="N93" s="95">
        <v>0</v>
      </c>
      <c r="O93" s="24"/>
      <c r="P93" s="24"/>
      <c r="Q93" s="24"/>
    </row>
    <row r="94" spans="2:17" x14ac:dyDescent="0.2">
      <c r="B94" s="87"/>
      <c r="C94" s="262" t="s">
        <v>101</v>
      </c>
      <c r="D94" s="263"/>
      <c r="E94" s="263"/>
      <c r="F94" s="264"/>
      <c r="G94" s="92">
        <f>SUM(G95:G117)</f>
        <v>6689461</v>
      </c>
      <c r="H94" s="92">
        <f t="shared" ref="H94:N94" si="12">SUM(H95:H117)</f>
        <v>4945220</v>
      </c>
      <c r="I94" s="92">
        <f t="shared" si="12"/>
        <v>5197410</v>
      </c>
      <c r="J94" s="92">
        <f t="shared" si="12"/>
        <v>6146734</v>
      </c>
      <c r="K94" s="92">
        <f t="shared" si="12"/>
        <v>6974097.3200000003</v>
      </c>
      <c r="L94" s="92">
        <f t="shared" si="12"/>
        <v>5863000</v>
      </c>
      <c r="M94" s="92">
        <f t="shared" si="12"/>
        <v>7932514</v>
      </c>
      <c r="N94" s="92">
        <f t="shared" si="12"/>
        <v>6515180</v>
      </c>
      <c r="O94" s="98"/>
      <c r="P94" s="98"/>
      <c r="Q94" s="98"/>
    </row>
    <row r="95" spans="2:17" x14ac:dyDescent="0.2">
      <c r="B95" s="87"/>
      <c r="C95" s="97"/>
      <c r="D95" s="265" t="s">
        <v>102</v>
      </c>
      <c r="E95" s="266"/>
      <c r="F95" s="267"/>
      <c r="G95" s="86">
        <v>0</v>
      </c>
      <c r="H95" s="86">
        <v>0</v>
      </c>
      <c r="I95" s="86">
        <v>0</v>
      </c>
      <c r="J95" s="85">
        <v>303213</v>
      </c>
      <c r="K95" s="85">
        <v>329508.37</v>
      </c>
      <c r="L95" s="85">
        <v>300000</v>
      </c>
      <c r="M95" s="85">
        <v>485015</v>
      </c>
      <c r="N95" s="85">
        <v>312000</v>
      </c>
      <c r="O95" s="15"/>
      <c r="P95" s="15"/>
      <c r="Q95" s="15"/>
    </row>
    <row r="96" spans="2:17" x14ac:dyDescent="0.2">
      <c r="B96" s="87"/>
      <c r="C96" s="97"/>
      <c r="D96" s="265" t="s">
        <v>103</v>
      </c>
      <c r="E96" s="266"/>
      <c r="F96" s="267"/>
      <c r="G96" s="86">
        <v>27730</v>
      </c>
      <c r="H96" s="86">
        <v>27702</v>
      </c>
      <c r="I96" s="86">
        <v>21313</v>
      </c>
      <c r="J96" s="85">
        <v>36230</v>
      </c>
      <c r="K96" s="85">
        <v>39241.440000000002</v>
      </c>
      <c r="L96" s="85">
        <v>50000</v>
      </c>
      <c r="M96" s="85">
        <v>62857</v>
      </c>
      <c r="N96" s="85">
        <v>40000</v>
      </c>
      <c r="O96" s="15"/>
      <c r="P96" s="15"/>
      <c r="Q96" s="15"/>
    </row>
    <row r="97" spans="2:17" x14ac:dyDescent="0.2">
      <c r="B97" s="87"/>
      <c r="C97" s="97"/>
      <c r="D97" s="265" t="s">
        <v>104</v>
      </c>
      <c r="E97" s="266"/>
      <c r="F97" s="267"/>
      <c r="G97" s="86">
        <v>580420</v>
      </c>
      <c r="H97" s="86">
        <v>690224</v>
      </c>
      <c r="I97" s="86">
        <v>209477</v>
      </c>
      <c r="J97" s="85">
        <v>723095</v>
      </c>
      <c r="K97" s="85">
        <v>876118.03</v>
      </c>
      <c r="L97" s="85">
        <v>700000</v>
      </c>
      <c r="M97" s="85">
        <v>2379895</v>
      </c>
      <c r="N97" s="85">
        <v>800000</v>
      </c>
      <c r="O97" s="15"/>
      <c r="P97" s="15"/>
      <c r="Q97" s="15"/>
    </row>
    <row r="98" spans="2:17" x14ac:dyDescent="0.2">
      <c r="B98" s="87"/>
      <c r="C98" s="97"/>
      <c r="D98" s="265" t="s">
        <v>105</v>
      </c>
      <c r="E98" s="266"/>
      <c r="F98" s="267"/>
      <c r="G98" s="86">
        <v>79579</v>
      </c>
      <c r="H98" s="86">
        <v>42835</v>
      </c>
      <c r="I98" s="86">
        <v>206202</v>
      </c>
      <c r="J98" s="85">
        <v>84211</v>
      </c>
      <c r="K98" s="85">
        <v>148908.01999999999</v>
      </c>
      <c r="L98" s="85">
        <v>75000</v>
      </c>
      <c r="M98" s="85">
        <v>68987</v>
      </c>
      <c r="N98" s="85">
        <v>80000</v>
      </c>
      <c r="O98" s="15"/>
      <c r="P98" s="15"/>
      <c r="Q98" s="15"/>
    </row>
    <row r="99" spans="2:17" x14ac:dyDescent="0.2">
      <c r="B99" s="87"/>
      <c r="C99" s="97"/>
      <c r="D99" s="265" t="s">
        <v>106</v>
      </c>
      <c r="E99" s="266"/>
      <c r="F99" s="267"/>
      <c r="G99" s="86">
        <v>4900</v>
      </c>
      <c r="H99" s="86">
        <v>4750</v>
      </c>
      <c r="I99" s="86">
        <v>5700</v>
      </c>
      <c r="J99" s="85">
        <v>6300</v>
      </c>
      <c r="K99" s="85">
        <v>6650</v>
      </c>
      <c r="L99" s="85">
        <v>6500</v>
      </c>
      <c r="M99" s="85">
        <v>5200</v>
      </c>
      <c r="N99" s="85">
        <v>6500</v>
      </c>
      <c r="O99" s="15"/>
      <c r="P99" s="15"/>
      <c r="Q99" s="15"/>
    </row>
    <row r="100" spans="2:17" x14ac:dyDescent="0.2">
      <c r="B100" s="87"/>
      <c r="C100" s="97"/>
      <c r="D100" s="265" t="s">
        <v>107</v>
      </c>
      <c r="E100" s="266"/>
      <c r="F100" s="267"/>
      <c r="G100" s="86">
        <v>2600</v>
      </c>
      <c r="H100" s="86">
        <v>-359</v>
      </c>
      <c r="I100" s="86">
        <v>3950</v>
      </c>
      <c r="J100" s="85">
        <v>4900</v>
      </c>
      <c r="K100" s="85">
        <v>3475</v>
      </c>
      <c r="L100" s="85">
        <v>5000</v>
      </c>
      <c r="M100" s="85">
        <v>4526</v>
      </c>
      <c r="N100" s="85">
        <v>5000</v>
      </c>
      <c r="O100" s="15"/>
      <c r="P100" s="15"/>
      <c r="Q100" s="15"/>
    </row>
    <row r="101" spans="2:17" x14ac:dyDescent="0.2">
      <c r="B101" s="87"/>
      <c r="C101" s="97"/>
      <c r="D101" s="265" t="s">
        <v>108</v>
      </c>
      <c r="E101" s="266"/>
      <c r="F101" s="267"/>
      <c r="G101" s="86">
        <v>25589</v>
      </c>
      <c r="H101" s="86">
        <v>19850</v>
      </c>
      <c r="I101" s="86">
        <v>26846</v>
      </c>
      <c r="J101" s="85">
        <v>19905</v>
      </c>
      <c r="K101" s="85">
        <v>25035.39</v>
      </c>
      <c r="L101" s="85">
        <v>20000</v>
      </c>
      <c r="M101" s="85">
        <v>17532</v>
      </c>
      <c r="N101" s="85">
        <v>20000</v>
      </c>
      <c r="O101" s="15"/>
      <c r="P101" s="15"/>
      <c r="Q101" s="15"/>
    </row>
    <row r="102" spans="2:17" x14ac:dyDescent="0.2">
      <c r="B102" s="87"/>
      <c r="C102" s="97"/>
      <c r="D102" s="265" t="s">
        <v>109</v>
      </c>
      <c r="E102" s="266"/>
      <c r="F102" s="267"/>
      <c r="G102" s="86">
        <v>631194</v>
      </c>
      <c r="H102" s="86">
        <v>548592</v>
      </c>
      <c r="I102" s="86">
        <v>617283</v>
      </c>
      <c r="J102" s="85">
        <v>636937</v>
      </c>
      <c r="K102" s="85">
        <v>660784.82999999996</v>
      </c>
      <c r="L102" s="85">
        <v>640000</v>
      </c>
      <c r="M102" s="85">
        <v>558272</v>
      </c>
      <c r="N102" s="85">
        <v>700000</v>
      </c>
      <c r="O102" s="15"/>
      <c r="P102" s="15"/>
      <c r="Q102" s="15"/>
    </row>
    <row r="103" spans="2:17" x14ac:dyDescent="0.2">
      <c r="B103" s="87"/>
      <c r="C103" s="97"/>
      <c r="D103" s="265" t="s">
        <v>110</v>
      </c>
      <c r="E103" s="266"/>
      <c r="F103" s="267"/>
      <c r="G103" s="86">
        <v>525591</v>
      </c>
      <c r="H103" s="86">
        <v>468701</v>
      </c>
      <c r="I103" s="86">
        <v>557604</v>
      </c>
      <c r="J103" s="85">
        <v>559961</v>
      </c>
      <c r="K103" s="85">
        <v>648049.44999999995</v>
      </c>
      <c r="L103" s="85">
        <v>560000</v>
      </c>
      <c r="M103" s="85">
        <v>632537</v>
      </c>
      <c r="N103" s="85">
        <v>650000</v>
      </c>
      <c r="O103" s="15"/>
      <c r="P103" s="15"/>
      <c r="Q103" s="15"/>
    </row>
    <row r="104" spans="2:17" x14ac:dyDescent="0.2">
      <c r="B104" s="87"/>
      <c r="C104" s="97"/>
      <c r="D104" s="265" t="s">
        <v>111</v>
      </c>
      <c r="E104" s="266"/>
      <c r="F104" s="267"/>
      <c r="G104" s="86">
        <v>395354</v>
      </c>
      <c r="H104" s="86">
        <v>32951</v>
      </c>
      <c r="I104" s="86">
        <v>33333</v>
      </c>
      <c r="J104" s="85">
        <v>212500</v>
      </c>
      <c r="K104" s="85">
        <v>755574.99</v>
      </c>
      <c r="L104" s="85">
        <v>215000</v>
      </c>
      <c r="M104" s="85">
        <v>558330</v>
      </c>
      <c r="N104" s="85">
        <v>558330</v>
      </c>
      <c r="O104" s="15"/>
      <c r="P104" s="15"/>
      <c r="Q104" s="15"/>
    </row>
    <row r="105" spans="2:17" x14ac:dyDescent="0.2">
      <c r="B105" s="87"/>
      <c r="C105" s="97"/>
      <c r="D105" s="265" t="s">
        <v>112</v>
      </c>
      <c r="E105" s="266"/>
      <c r="F105" s="267"/>
      <c r="G105" s="86">
        <v>918130</v>
      </c>
      <c r="H105" s="86">
        <v>513762</v>
      </c>
      <c r="I105" s="86">
        <v>432439</v>
      </c>
      <c r="J105" s="85">
        <v>448297</v>
      </c>
      <c r="K105" s="85">
        <v>455678.01</v>
      </c>
      <c r="L105" s="85">
        <v>450000</v>
      </c>
      <c r="M105" s="85">
        <v>473317</v>
      </c>
      <c r="N105" s="85">
        <v>555000</v>
      </c>
      <c r="O105" s="15"/>
      <c r="P105" s="15"/>
      <c r="Q105" s="15"/>
    </row>
    <row r="106" spans="2:17" x14ac:dyDescent="0.2">
      <c r="B106" s="87"/>
      <c r="C106" s="97"/>
      <c r="D106" s="265" t="s">
        <v>113</v>
      </c>
      <c r="E106" s="266"/>
      <c r="F106" s="267"/>
      <c r="G106" s="86">
        <v>167835</v>
      </c>
      <c r="H106" s="86">
        <v>120998</v>
      </c>
      <c r="I106" s="86">
        <v>152313</v>
      </c>
      <c r="J106" s="85">
        <v>207769</v>
      </c>
      <c r="K106" s="85">
        <v>188548.23</v>
      </c>
      <c r="L106" s="85">
        <v>210000</v>
      </c>
      <c r="M106" s="85">
        <v>154323</v>
      </c>
      <c r="N106" s="85">
        <v>195000</v>
      </c>
      <c r="O106" s="15"/>
      <c r="P106" s="15"/>
      <c r="Q106" s="15"/>
    </row>
    <row r="107" spans="2:17" x14ac:dyDescent="0.2">
      <c r="B107" s="87"/>
      <c r="C107" s="97"/>
      <c r="D107" s="265" t="s">
        <v>114</v>
      </c>
      <c r="E107" s="266"/>
      <c r="F107" s="267"/>
      <c r="G107" s="86">
        <v>193186</v>
      </c>
      <c r="H107" s="86">
        <v>264895</v>
      </c>
      <c r="I107" s="86">
        <v>1441</v>
      </c>
      <c r="J107" s="85">
        <v>148766</v>
      </c>
      <c r="K107" s="85">
        <v>122404.43</v>
      </c>
      <c r="L107" s="85">
        <v>150000</v>
      </c>
      <c r="M107" s="85">
        <v>125000</v>
      </c>
      <c r="N107" s="85">
        <v>125000</v>
      </c>
      <c r="O107" s="15"/>
      <c r="P107" s="15"/>
      <c r="Q107" s="15"/>
    </row>
    <row r="108" spans="2:17" x14ac:dyDescent="0.2">
      <c r="B108" s="87"/>
      <c r="C108" s="97"/>
      <c r="D108" s="265" t="s">
        <v>115</v>
      </c>
      <c r="E108" s="266"/>
      <c r="F108" s="267"/>
      <c r="G108" s="86">
        <v>667929</v>
      </c>
      <c r="H108" s="86">
        <v>614169</v>
      </c>
      <c r="I108" s="86">
        <v>628219</v>
      </c>
      <c r="J108" s="85">
        <v>355671</v>
      </c>
      <c r="K108" s="85">
        <v>0</v>
      </c>
      <c r="L108" s="85">
        <v>0</v>
      </c>
      <c r="M108" s="85">
        <v>0</v>
      </c>
      <c r="N108" s="85">
        <v>0</v>
      </c>
      <c r="O108" s="15"/>
      <c r="P108" s="15"/>
      <c r="Q108" s="15"/>
    </row>
    <row r="109" spans="2:17" x14ac:dyDescent="0.2">
      <c r="B109" s="87"/>
      <c r="C109" s="97"/>
      <c r="D109" s="265" t="s">
        <v>116</v>
      </c>
      <c r="E109" s="266"/>
      <c r="F109" s="267"/>
      <c r="G109" s="86">
        <v>2155192</v>
      </c>
      <c r="H109" s="86">
        <v>1523775</v>
      </c>
      <c r="I109" s="86">
        <v>2077501</v>
      </c>
      <c r="J109" s="85">
        <v>2203309</v>
      </c>
      <c r="K109" s="85">
        <v>2562327.5099999998</v>
      </c>
      <c r="L109" s="85">
        <v>2300000</v>
      </c>
      <c r="M109" s="85">
        <v>2272947</v>
      </c>
      <c r="N109" s="85">
        <v>2300000</v>
      </c>
      <c r="O109" s="15"/>
      <c r="P109" s="15"/>
      <c r="Q109" s="15"/>
    </row>
    <row r="110" spans="2:17" x14ac:dyDescent="0.2">
      <c r="B110" s="87"/>
      <c r="C110" s="97"/>
      <c r="D110" s="265" t="s">
        <v>117</v>
      </c>
      <c r="E110" s="266"/>
      <c r="F110" s="267"/>
      <c r="G110" s="86">
        <v>1825</v>
      </c>
      <c r="H110" s="86">
        <v>1555</v>
      </c>
      <c r="I110" s="86">
        <v>1670</v>
      </c>
      <c r="J110" s="85">
        <v>1540</v>
      </c>
      <c r="K110" s="85">
        <v>1275</v>
      </c>
      <c r="L110" s="85">
        <v>2000</v>
      </c>
      <c r="M110" s="85">
        <v>1010</v>
      </c>
      <c r="N110" s="85">
        <v>1500</v>
      </c>
      <c r="O110" s="15"/>
      <c r="P110" s="15"/>
      <c r="Q110" s="15"/>
    </row>
    <row r="111" spans="2:17" x14ac:dyDescent="0.2">
      <c r="B111" s="87"/>
      <c r="C111" s="97"/>
      <c r="D111" s="265" t="s">
        <v>118</v>
      </c>
      <c r="E111" s="266"/>
      <c r="F111" s="267"/>
      <c r="G111" s="86">
        <v>0</v>
      </c>
      <c r="H111" s="86">
        <v>0</v>
      </c>
      <c r="I111" s="86">
        <v>0</v>
      </c>
      <c r="J111" s="86">
        <v>0</v>
      </c>
      <c r="K111" s="85">
        <v>195</v>
      </c>
      <c r="L111" s="85">
        <v>0</v>
      </c>
      <c r="M111" s="85">
        <v>120</v>
      </c>
      <c r="N111" s="85">
        <v>150</v>
      </c>
      <c r="O111" s="15"/>
      <c r="P111" s="15"/>
      <c r="Q111" s="15"/>
    </row>
    <row r="112" spans="2:17" x14ac:dyDescent="0.2">
      <c r="B112" s="87"/>
      <c r="C112" s="97"/>
      <c r="D112" s="265" t="s">
        <v>119</v>
      </c>
      <c r="E112" s="266"/>
      <c r="F112" s="267"/>
      <c r="G112" s="86">
        <v>3600</v>
      </c>
      <c r="H112" s="86">
        <v>4175</v>
      </c>
      <c r="I112" s="86">
        <v>900</v>
      </c>
      <c r="J112" s="85">
        <v>825</v>
      </c>
      <c r="K112" s="85">
        <v>275</v>
      </c>
      <c r="L112" s="85">
        <v>1500</v>
      </c>
      <c r="M112" s="85">
        <v>416</v>
      </c>
      <c r="N112" s="85">
        <v>500</v>
      </c>
      <c r="O112" s="15"/>
      <c r="P112" s="15"/>
      <c r="Q112" s="15"/>
    </row>
    <row r="113" spans="2:17" x14ac:dyDescent="0.2">
      <c r="B113" s="87"/>
      <c r="C113" s="97"/>
      <c r="D113" s="265" t="s">
        <v>120</v>
      </c>
      <c r="E113" s="266"/>
      <c r="F113" s="267"/>
      <c r="G113" s="86">
        <v>1750</v>
      </c>
      <c r="H113" s="86">
        <v>-650</v>
      </c>
      <c r="I113" s="86">
        <v>5750</v>
      </c>
      <c r="J113" s="85">
        <v>3850</v>
      </c>
      <c r="K113" s="85">
        <v>3150</v>
      </c>
      <c r="L113" s="85">
        <v>4000</v>
      </c>
      <c r="M113" s="85">
        <v>1800</v>
      </c>
      <c r="N113" s="85">
        <v>3500</v>
      </c>
      <c r="O113" s="15"/>
      <c r="P113" s="15"/>
      <c r="Q113" s="15"/>
    </row>
    <row r="114" spans="2:17" x14ac:dyDescent="0.2">
      <c r="B114" s="87"/>
      <c r="C114" s="97"/>
      <c r="D114" s="265" t="s">
        <v>121</v>
      </c>
      <c r="E114" s="266"/>
      <c r="F114" s="267"/>
      <c r="G114" s="86">
        <v>12433</v>
      </c>
      <c r="H114" s="86">
        <v>9123</v>
      </c>
      <c r="I114" s="86">
        <v>16814</v>
      </c>
      <c r="J114" s="85">
        <v>15502</v>
      </c>
      <c r="K114" s="85">
        <v>37924.43</v>
      </c>
      <c r="L114" s="85">
        <v>16000</v>
      </c>
      <c r="M114" s="85">
        <v>0</v>
      </c>
      <c r="N114" s="85">
        <v>0</v>
      </c>
      <c r="O114" s="15"/>
      <c r="P114" s="15"/>
      <c r="Q114" s="15"/>
    </row>
    <row r="115" spans="2:17" x14ac:dyDescent="0.2">
      <c r="B115" s="87"/>
      <c r="C115" s="97"/>
      <c r="D115" s="265" t="s">
        <v>122</v>
      </c>
      <c r="E115" s="266"/>
      <c r="F115" s="267"/>
      <c r="G115" s="86">
        <v>85408</v>
      </c>
      <c r="H115" s="86">
        <v>14580</v>
      </c>
      <c r="I115" s="86">
        <v>15120</v>
      </c>
      <c r="J115" s="85">
        <v>0</v>
      </c>
      <c r="K115" s="85">
        <v>0</v>
      </c>
      <c r="L115" s="85">
        <v>0</v>
      </c>
      <c r="M115" s="85">
        <v>4815</v>
      </c>
      <c r="N115" s="85">
        <v>5200</v>
      </c>
      <c r="O115" s="15"/>
      <c r="P115" s="15"/>
      <c r="Q115" s="15"/>
    </row>
    <row r="116" spans="2:17" x14ac:dyDescent="0.2">
      <c r="B116" s="87"/>
      <c r="C116" s="97"/>
      <c r="D116" s="265" t="s">
        <v>123</v>
      </c>
      <c r="E116" s="266"/>
      <c r="F116" s="267"/>
      <c r="G116" s="86">
        <v>202516</v>
      </c>
      <c r="H116" s="86">
        <v>36292</v>
      </c>
      <c r="I116" s="86">
        <v>174735</v>
      </c>
      <c r="J116" s="85">
        <v>166253</v>
      </c>
      <c r="K116" s="85">
        <v>101474.19</v>
      </c>
      <c r="L116" s="85">
        <v>150000</v>
      </c>
      <c r="M116" s="85">
        <v>120313</v>
      </c>
      <c r="N116" s="85">
        <v>150000</v>
      </c>
      <c r="O116" s="15"/>
      <c r="P116" s="15"/>
      <c r="Q116" s="15"/>
    </row>
    <row r="117" spans="2:17" x14ac:dyDescent="0.2">
      <c r="B117" s="87"/>
      <c r="C117" s="97"/>
      <c r="D117" s="265" t="s">
        <v>124</v>
      </c>
      <c r="E117" s="266"/>
      <c r="F117" s="267"/>
      <c r="G117" s="86">
        <v>6700</v>
      </c>
      <c r="H117" s="86">
        <v>7300</v>
      </c>
      <c r="I117" s="86">
        <v>8800</v>
      </c>
      <c r="J117" s="85">
        <v>7700</v>
      </c>
      <c r="K117" s="85">
        <v>7500</v>
      </c>
      <c r="L117" s="85">
        <v>8000</v>
      </c>
      <c r="M117" s="85">
        <v>5302</v>
      </c>
      <c r="N117" s="85">
        <v>7500</v>
      </c>
      <c r="O117" s="15"/>
      <c r="P117" s="15"/>
      <c r="Q117" s="15"/>
    </row>
    <row r="118" spans="2:17" x14ac:dyDescent="0.2">
      <c r="B118" s="87"/>
      <c r="C118" s="256" t="s">
        <v>125</v>
      </c>
      <c r="D118" s="257"/>
      <c r="E118" s="257"/>
      <c r="F118" s="258"/>
      <c r="G118" s="96">
        <f t="shared" ref="G118:N118" si="13">G119+G120</f>
        <v>15750</v>
      </c>
      <c r="H118" s="96">
        <f t="shared" si="13"/>
        <v>0</v>
      </c>
      <c r="I118" s="96">
        <f t="shared" si="13"/>
        <v>343595</v>
      </c>
      <c r="J118" s="96">
        <f t="shared" si="13"/>
        <v>0</v>
      </c>
      <c r="K118" s="96">
        <f t="shared" si="13"/>
        <v>2900</v>
      </c>
      <c r="L118" s="96">
        <f t="shared" si="13"/>
        <v>2000</v>
      </c>
      <c r="M118" s="96">
        <f t="shared" si="13"/>
        <v>0</v>
      </c>
      <c r="N118" s="96">
        <f t="shared" si="13"/>
        <v>2000</v>
      </c>
      <c r="O118" s="24"/>
      <c r="P118" s="24"/>
      <c r="Q118" s="24"/>
    </row>
    <row r="119" spans="2:17" x14ac:dyDescent="0.2">
      <c r="B119" s="87"/>
      <c r="C119" s="87"/>
      <c r="D119" s="229" t="s">
        <v>126</v>
      </c>
      <c r="E119" s="230"/>
      <c r="F119" s="231"/>
      <c r="G119" s="86">
        <v>15750</v>
      </c>
      <c r="H119" s="86">
        <v>0</v>
      </c>
      <c r="I119" s="86">
        <v>150</v>
      </c>
      <c r="J119" s="95">
        <v>0</v>
      </c>
      <c r="K119" s="95">
        <v>0</v>
      </c>
      <c r="L119" s="95">
        <v>0</v>
      </c>
      <c r="M119" s="95">
        <v>0</v>
      </c>
      <c r="N119" s="95">
        <v>0</v>
      </c>
      <c r="O119" s="24"/>
      <c r="P119" s="24"/>
      <c r="Q119" s="24"/>
    </row>
    <row r="120" spans="2:17" x14ac:dyDescent="0.2">
      <c r="B120" s="87"/>
      <c r="C120" s="87"/>
      <c r="D120" s="229" t="s">
        <v>127</v>
      </c>
      <c r="E120" s="230"/>
      <c r="F120" s="231"/>
      <c r="G120" s="86">
        <v>0</v>
      </c>
      <c r="H120" s="86">
        <v>0</v>
      </c>
      <c r="I120" s="86">
        <v>343445</v>
      </c>
      <c r="J120" s="85">
        <v>0</v>
      </c>
      <c r="K120" s="85">
        <v>2900</v>
      </c>
      <c r="L120" s="85">
        <v>2000</v>
      </c>
      <c r="M120" s="85">
        <v>0</v>
      </c>
      <c r="N120" s="85">
        <v>2000</v>
      </c>
      <c r="O120" s="15"/>
      <c r="P120" s="15"/>
      <c r="Q120" s="15"/>
    </row>
    <row r="121" spans="2:17" x14ac:dyDescent="0.2">
      <c r="B121" s="87"/>
      <c r="C121" s="252" t="s">
        <v>128</v>
      </c>
      <c r="D121" s="253"/>
      <c r="E121" s="253"/>
      <c r="F121" s="254"/>
      <c r="G121" s="91">
        <f t="shared" ref="G121:N121" si="14">SUM(G122:G126)</f>
        <v>1236170</v>
      </c>
      <c r="H121" s="91">
        <f t="shared" si="14"/>
        <v>106432</v>
      </c>
      <c r="I121" s="91">
        <f t="shared" si="14"/>
        <v>2881720</v>
      </c>
      <c r="J121" s="91">
        <f t="shared" si="14"/>
        <v>22419983</v>
      </c>
      <c r="K121" s="91">
        <f t="shared" si="14"/>
        <v>12135786.82</v>
      </c>
      <c r="L121" s="91">
        <f t="shared" si="14"/>
        <v>11065482</v>
      </c>
      <c r="M121" s="91">
        <f t="shared" si="14"/>
        <v>12343211</v>
      </c>
      <c r="N121" s="91">
        <f t="shared" si="14"/>
        <v>9593000</v>
      </c>
      <c r="O121" s="90"/>
      <c r="P121" s="90"/>
      <c r="Q121" s="90"/>
    </row>
    <row r="122" spans="2:17" x14ac:dyDescent="0.2">
      <c r="B122" s="87"/>
      <c r="C122" s="87"/>
      <c r="D122" s="229" t="s">
        <v>129</v>
      </c>
      <c r="E122" s="230"/>
      <c r="F122" s="231"/>
      <c r="G122" s="86">
        <v>462363</v>
      </c>
      <c r="H122" s="86">
        <v>21930</v>
      </c>
      <c r="I122" s="86">
        <v>40653</v>
      </c>
      <c r="J122" s="85">
        <v>4846251</v>
      </c>
      <c r="K122" s="85">
        <v>12103549.51</v>
      </c>
      <c r="L122" s="85">
        <v>10981691</v>
      </c>
      <c r="M122" s="85">
        <v>11526024</v>
      </c>
      <c r="N122" s="85">
        <v>9500000</v>
      </c>
      <c r="O122" s="15"/>
      <c r="P122" s="15"/>
      <c r="Q122" s="15"/>
    </row>
    <row r="123" spans="2:17" x14ac:dyDescent="0.2">
      <c r="B123" s="87"/>
      <c r="C123" s="87"/>
      <c r="D123" s="229" t="s">
        <v>130</v>
      </c>
      <c r="E123" s="230"/>
      <c r="F123" s="231"/>
      <c r="G123" s="86">
        <v>79982</v>
      </c>
      <c r="H123" s="86">
        <v>37823</v>
      </c>
      <c r="I123" s="86">
        <v>26942</v>
      </c>
      <c r="J123" s="85">
        <v>40732</v>
      </c>
      <c r="K123" s="85">
        <v>95933.07</v>
      </c>
      <c r="L123" s="85">
        <v>37132</v>
      </c>
      <c r="M123" s="85">
        <v>45050</v>
      </c>
      <c r="N123" s="85">
        <v>55000</v>
      </c>
      <c r="O123" s="15"/>
      <c r="P123" s="15"/>
      <c r="Q123" s="15"/>
    </row>
    <row r="124" spans="2:17" x14ac:dyDescent="0.2">
      <c r="B124" s="87"/>
      <c r="C124" s="87"/>
      <c r="D124" s="229" t="s">
        <v>131</v>
      </c>
      <c r="E124" s="230"/>
      <c r="F124" s="231"/>
      <c r="G124" s="86">
        <v>143825</v>
      </c>
      <c r="H124" s="86">
        <v>45491</v>
      </c>
      <c r="I124" s="86">
        <v>30015</v>
      </c>
      <c r="J124" s="85">
        <v>33000</v>
      </c>
      <c r="K124" s="85">
        <v>-63695.76</v>
      </c>
      <c r="L124" s="85">
        <v>36050</v>
      </c>
      <c r="M124" s="85">
        <v>771892</v>
      </c>
      <c r="N124" s="85">
        <v>38000</v>
      </c>
      <c r="O124" s="15"/>
      <c r="P124" s="15"/>
      <c r="Q124" s="15"/>
    </row>
    <row r="125" spans="2:17" x14ac:dyDescent="0.2">
      <c r="B125" s="87"/>
      <c r="C125" s="87"/>
      <c r="D125" s="229" t="s">
        <v>132</v>
      </c>
      <c r="E125" s="230"/>
      <c r="F125" s="231"/>
      <c r="G125" s="86">
        <v>0</v>
      </c>
      <c r="H125" s="86">
        <v>0</v>
      </c>
      <c r="I125" s="86">
        <v>0</v>
      </c>
      <c r="J125" s="86">
        <v>0</v>
      </c>
      <c r="K125" s="86">
        <v>0</v>
      </c>
      <c r="L125" s="86">
        <v>0</v>
      </c>
      <c r="M125" s="85">
        <v>245</v>
      </c>
      <c r="N125" s="85">
        <v>0</v>
      </c>
      <c r="O125" s="15"/>
      <c r="P125" s="15"/>
      <c r="Q125" s="15"/>
    </row>
    <row r="126" spans="2:17" x14ac:dyDescent="0.2">
      <c r="B126" s="87"/>
      <c r="C126" s="87"/>
      <c r="D126" s="229" t="s">
        <v>133</v>
      </c>
      <c r="E126" s="230"/>
      <c r="F126" s="231"/>
      <c r="G126" s="86">
        <v>550000</v>
      </c>
      <c r="H126" s="86">
        <v>1188</v>
      </c>
      <c r="I126" s="86">
        <v>2784110</v>
      </c>
      <c r="J126" s="85">
        <v>17500000</v>
      </c>
      <c r="K126" s="85">
        <v>0</v>
      </c>
      <c r="L126" s="85">
        <v>10609</v>
      </c>
      <c r="M126" s="85">
        <v>0</v>
      </c>
      <c r="N126" s="85">
        <v>0</v>
      </c>
      <c r="O126" s="15"/>
      <c r="P126" s="15"/>
      <c r="Q126" s="15"/>
    </row>
    <row r="127" spans="2:17" x14ac:dyDescent="0.2">
      <c r="B127" s="87"/>
      <c r="C127" s="256" t="s">
        <v>134</v>
      </c>
      <c r="D127" s="257"/>
      <c r="E127" s="257"/>
      <c r="F127" s="258"/>
      <c r="G127" s="94">
        <f t="shared" ref="G127:N127" si="15">G128+G129</f>
        <v>210228</v>
      </c>
      <c r="H127" s="94">
        <f t="shared" si="15"/>
        <v>180533</v>
      </c>
      <c r="I127" s="94">
        <f t="shared" si="15"/>
        <v>303858</v>
      </c>
      <c r="J127" s="94">
        <f t="shared" si="15"/>
        <v>146143</v>
      </c>
      <c r="K127" s="94">
        <f t="shared" si="15"/>
        <v>354304.53</v>
      </c>
      <c r="L127" s="94">
        <f t="shared" si="15"/>
        <v>1505000</v>
      </c>
      <c r="M127" s="94">
        <f t="shared" si="15"/>
        <v>242917</v>
      </c>
      <c r="N127" s="94">
        <f t="shared" si="15"/>
        <v>1495000</v>
      </c>
      <c r="O127" s="15"/>
      <c r="P127" s="15"/>
      <c r="Q127" s="15"/>
    </row>
    <row r="128" spans="2:17" x14ac:dyDescent="0.2">
      <c r="B128" s="87"/>
      <c r="C128" s="87"/>
      <c r="D128" s="273" t="s">
        <v>135</v>
      </c>
      <c r="E128" s="274"/>
      <c r="F128" s="275"/>
      <c r="G128" s="93">
        <v>4072</v>
      </c>
      <c r="H128" s="93">
        <v>17213</v>
      </c>
      <c r="I128" s="93">
        <v>37991</v>
      </c>
      <c r="J128" s="88">
        <v>3683</v>
      </c>
      <c r="K128" s="88">
        <v>35409.53</v>
      </c>
      <c r="L128" s="88">
        <v>5000</v>
      </c>
      <c r="M128" s="88">
        <v>31275</v>
      </c>
      <c r="N128" s="88">
        <v>25000</v>
      </c>
      <c r="O128" s="21"/>
      <c r="P128" s="21"/>
      <c r="Q128" s="21"/>
    </row>
    <row r="129" spans="2:17" x14ac:dyDescent="0.2">
      <c r="B129" s="87"/>
      <c r="C129" s="87"/>
      <c r="D129" s="229" t="s">
        <v>136</v>
      </c>
      <c r="E129" s="230"/>
      <c r="F129" s="231"/>
      <c r="G129" s="86">
        <v>206156</v>
      </c>
      <c r="H129" s="86">
        <v>163320</v>
      </c>
      <c r="I129" s="86">
        <v>265867</v>
      </c>
      <c r="J129" s="85">
        <v>142460</v>
      </c>
      <c r="K129" s="85">
        <v>318895</v>
      </c>
      <c r="L129" s="85">
        <v>1500000</v>
      </c>
      <c r="M129" s="85">
        <v>211642</v>
      </c>
      <c r="N129" s="85">
        <v>1470000</v>
      </c>
      <c r="O129" s="15"/>
      <c r="P129" s="15"/>
      <c r="Q129" s="15"/>
    </row>
    <row r="130" spans="2:17" x14ac:dyDescent="0.2">
      <c r="B130" s="87"/>
      <c r="C130" s="252" t="s">
        <v>137</v>
      </c>
      <c r="D130" s="253"/>
      <c r="E130" s="253"/>
      <c r="F130" s="254"/>
      <c r="G130" s="91">
        <f>SUM(G131:G137)</f>
        <v>65662612</v>
      </c>
      <c r="H130" s="91">
        <f t="shared" ref="H130:N130" si="16">SUM(H131:H137)</f>
        <v>92586236</v>
      </c>
      <c r="I130" s="91">
        <f t="shared" si="16"/>
        <v>79566414</v>
      </c>
      <c r="J130" s="91">
        <f t="shared" si="16"/>
        <v>74919786</v>
      </c>
      <c r="K130" s="91">
        <f t="shared" si="16"/>
        <v>73492425.769999996</v>
      </c>
      <c r="L130" s="91">
        <f t="shared" si="16"/>
        <v>79772430</v>
      </c>
      <c r="M130" s="91">
        <f t="shared" si="16"/>
        <v>79580230</v>
      </c>
      <c r="N130" s="91">
        <f t="shared" si="16"/>
        <v>79429584</v>
      </c>
      <c r="O130" s="90"/>
      <c r="P130" s="90"/>
      <c r="Q130" s="90"/>
    </row>
    <row r="131" spans="2:17" x14ac:dyDescent="0.2">
      <c r="B131" s="87"/>
      <c r="C131" s="215"/>
      <c r="D131" s="229" t="s">
        <v>138</v>
      </c>
      <c r="E131" s="230"/>
      <c r="F131" s="231"/>
      <c r="G131" s="165">
        <v>1886400</v>
      </c>
      <c r="H131" s="165">
        <v>0</v>
      </c>
      <c r="I131" s="165">
        <v>0</v>
      </c>
      <c r="J131" s="165">
        <v>0</v>
      </c>
      <c r="K131" s="165">
        <v>0</v>
      </c>
      <c r="L131" s="165">
        <v>0</v>
      </c>
      <c r="M131" s="165">
        <v>0</v>
      </c>
      <c r="N131" s="165">
        <v>0</v>
      </c>
      <c r="O131" s="90"/>
      <c r="P131" s="90"/>
      <c r="Q131" s="90"/>
    </row>
    <row r="132" spans="2:17" x14ac:dyDescent="0.2">
      <c r="B132" s="87"/>
      <c r="C132" s="87"/>
      <c r="D132" s="229" t="s">
        <v>139</v>
      </c>
      <c r="E132" s="230"/>
      <c r="F132" s="231"/>
      <c r="G132" s="86">
        <v>1229014</v>
      </c>
      <c r="H132" s="86">
        <v>1444343</v>
      </c>
      <c r="I132" s="86">
        <v>3133327</v>
      </c>
      <c r="J132" s="85">
        <v>2757768</v>
      </c>
      <c r="K132" s="85">
        <v>1715100.77</v>
      </c>
      <c r="L132" s="85">
        <v>2962923</v>
      </c>
      <c r="M132" s="85">
        <v>2650646</v>
      </c>
      <c r="N132" s="85">
        <v>2500000</v>
      </c>
      <c r="O132" s="15"/>
      <c r="P132" s="15"/>
      <c r="Q132" s="15"/>
    </row>
    <row r="133" spans="2:17" x14ac:dyDescent="0.2">
      <c r="B133" s="87"/>
      <c r="C133" s="87"/>
      <c r="D133" s="229" t="s">
        <v>140</v>
      </c>
      <c r="E133" s="230"/>
      <c r="F133" s="231"/>
      <c r="G133" s="86">
        <v>4467133</v>
      </c>
      <c r="H133" s="86">
        <v>4665211</v>
      </c>
      <c r="I133" s="86">
        <v>4656173</v>
      </c>
      <c r="J133" s="85">
        <v>375476</v>
      </c>
      <c r="K133" s="85">
        <v>0</v>
      </c>
      <c r="L133" s="85">
        <v>0</v>
      </c>
      <c r="M133" s="85">
        <v>0</v>
      </c>
      <c r="N133" s="85">
        <v>0</v>
      </c>
      <c r="O133" s="15"/>
      <c r="P133" s="15"/>
      <c r="Q133" s="15"/>
    </row>
    <row r="134" spans="2:17" x14ac:dyDescent="0.2">
      <c r="B134" s="87"/>
      <c r="C134" s="87"/>
      <c r="D134" s="229" t="s">
        <v>141</v>
      </c>
      <c r="E134" s="230"/>
      <c r="F134" s="231"/>
      <c r="G134" s="86">
        <v>0</v>
      </c>
      <c r="H134" s="86">
        <v>60887</v>
      </c>
      <c r="I134" s="86">
        <v>18330</v>
      </c>
      <c r="J134" s="85">
        <v>27958</v>
      </c>
      <c r="K134" s="85">
        <v>18741</v>
      </c>
      <c r="L134" s="85">
        <v>50923</v>
      </c>
      <c r="M134" s="85">
        <v>0</v>
      </c>
      <c r="N134" s="85">
        <v>0</v>
      </c>
      <c r="O134" s="15"/>
      <c r="P134" s="15"/>
      <c r="Q134" s="15"/>
    </row>
    <row r="135" spans="2:17" x14ac:dyDescent="0.2">
      <c r="B135" s="87"/>
      <c r="C135" s="87"/>
      <c r="D135" s="229" t="s">
        <v>142</v>
      </c>
      <c r="E135" s="230"/>
      <c r="F135" s="231"/>
      <c r="G135" s="86">
        <v>58250610</v>
      </c>
      <c r="H135" s="86">
        <v>86110301</v>
      </c>
      <c r="I135" s="86">
        <v>71758584</v>
      </c>
      <c r="J135" s="85">
        <v>71758584</v>
      </c>
      <c r="K135" s="85">
        <v>71758584</v>
      </c>
      <c r="L135" s="85">
        <v>71758584</v>
      </c>
      <c r="M135" s="85">
        <v>71758584</v>
      </c>
      <c r="N135" s="85">
        <v>71758584</v>
      </c>
      <c r="O135" s="15"/>
      <c r="P135" s="15"/>
      <c r="Q135" s="15"/>
    </row>
    <row r="136" spans="2:17" x14ac:dyDescent="0.2">
      <c r="B136" s="87"/>
      <c r="C136" s="87"/>
      <c r="D136" s="229" t="s">
        <v>143</v>
      </c>
      <c r="E136" s="230"/>
      <c r="F136" s="231"/>
      <c r="G136" s="86">
        <v>0</v>
      </c>
      <c r="H136" s="86">
        <v>0</v>
      </c>
      <c r="I136" s="86">
        <v>0</v>
      </c>
      <c r="J136" s="85">
        <v>0</v>
      </c>
      <c r="K136" s="85">
        <v>0</v>
      </c>
      <c r="L136" s="85">
        <v>5000000</v>
      </c>
      <c r="M136" s="85">
        <v>5000000</v>
      </c>
      <c r="N136" s="85">
        <v>5000000</v>
      </c>
      <c r="O136" s="15"/>
      <c r="P136" s="15"/>
      <c r="Q136" s="15"/>
    </row>
    <row r="137" spans="2:17" x14ac:dyDescent="0.2">
      <c r="B137" s="87"/>
      <c r="C137" s="87"/>
      <c r="D137" s="229" t="s">
        <v>144</v>
      </c>
      <c r="E137" s="230"/>
      <c r="F137" s="231"/>
      <c r="G137" s="86">
        <v>-170545</v>
      </c>
      <c r="H137" s="86">
        <v>305494</v>
      </c>
      <c r="I137" s="86">
        <v>0</v>
      </c>
      <c r="J137" s="85">
        <v>0</v>
      </c>
      <c r="K137" s="85">
        <v>0</v>
      </c>
      <c r="L137" s="85">
        <v>0</v>
      </c>
      <c r="M137" s="85">
        <v>171000</v>
      </c>
      <c r="N137" s="85">
        <v>171000</v>
      </c>
      <c r="O137" s="15"/>
      <c r="P137" s="15"/>
      <c r="Q137" s="15"/>
    </row>
    <row r="138" spans="2:17" x14ac:dyDescent="0.2">
      <c r="B138" s="87"/>
      <c r="C138" s="256" t="s">
        <v>145</v>
      </c>
      <c r="D138" s="257"/>
      <c r="E138" s="257"/>
      <c r="F138" s="258"/>
      <c r="G138" s="92">
        <f t="shared" ref="G138:N138" si="17">G139</f>
        <v>0</v>
      </c>
      <c r="H138" s="92">
        <f t="shared" si="17"/>
        <v>0</v>
      </c>
      <c r="I138" s="92">
        <f t="shared" si="17"/>
        <v>0</v>
      </c>
      <c r="J138" s="92">
        <f t="shared" si="17"/>
        <v>16736551</v>
      </c>
      <c r="K138" s="92">
        <f t="shared" si="17"/>
        <v>4000000</v>
      </c>
      <c r="L138" s="92">
        <f t="shared" si="17"/>
        <v>11000000</v>
      </c>
      <c r="M138" s="92">
        <f t="shared" si="17"/>
        <v>18390799</v>
      </c>
      <c r="N138" s="92">
        <f t="shared" si="17"/>
        <v>0</v>
      </c>
      <c r="O138" s="15"/>
      <c r="P138" s="15"/>
      <c r="Q138" s="15"/>
    </row>
    <row r="139" spans="2:17" x14ac:dyDescent="0.2">
      <c r="B139" s="87"/>
      <c r="C139" s="87"/>
      <c r="D139" s="229" t="s">
        <v>146</v>
      </c>
      <c r="E139" s="230"/>
      <c r="F139" s="231"/>
      <c r="G139" s="86">
        <v>0</v>
      </c>
      <c r="H139" s="86">
        <v>0</v>
      </c>
      <c r="I139" s="86">
        <v>0</v>
      </c>
      <c r="J139" s="85">
        <v>16736551</v>
      </c>
      <c r="K139" s="85">
        <v>4000000</v>
      </c>
      <c r="L139" s="85">
        <v>11000000</v>
      </c>
      <c r="M139" s="85">
        <v>18390799</v>
      </c>
      <c r="N139" s="85">
        <v>0</v>
      </c>
      <c r="O139" s="15"/>
      <c r="P139" s="15"/>
      <c r="Q139" s="15"/>
    </row>
    <row r="140" spans="2:17" x14ac:dyDescent="0.2">
      <c r="B140" s="87"/>
      <c r="C140" s="252" t="s">
        <v>147</v>
      </c>
      <c r="D140" s="253"/>
      <c r="E140" s="253"/>
      <c r="F140" s="254"/>
      <c r="G140" s="91">
        <f t="shared" ref="G140:N140" si="18">SUM(G141:G151)</f>
        <v>7430873</v>
      </c>
      <c r="H140" s="91">
        <f t="shared" si="18"/>
        <v>11461708</v>
      </c>
      <c r="I140" s="91">
        <f t="shared" si="18"/>
        <v>3334942</v>
      </c>
      <c r="J140" s="91">
        <f t="shared" si="18"/>
        <v>3375769</v>
      </c>
      <c r="K140" s="91">
        <f t="shared" si="18"/>
        <v>3140557</v>
      </c>
      <c r="L140" s="91">
        <f t="shared" si="18"/>
        <v>3697163</v>
      </c>
      <c r="M140" s="91">
        <f t="shared" si="18"/>
        <v>3520551</v>
      </c>
      <c r="N140" s="91">
        <f t="shared" si="18"/>
        <v>3493250</v>
      </c>
      <c r="O140" s="90"/>
      <c r="P140" s="90"/>
      <c r="Q140" s="90"/>
    </row>
    <row r="141" spans="2:17" x14ac:dyDescent="0.2">
      <c r="B141" s="87"/>
      <c r="C141" s="87"/>
      <c r="D141" s="229" t="s">
        <v>148</v>
      </c>
      <c r="E141" s="230"/>
      <c r="F141" s="231"/>
      <c r="G141" s="86">
        <v>35902</v>
      </c>
      <c r="H141" s="86">
        <v>17951</v>
      </c>
      <c r="I141" s="86">
        <v>0</v>
      </c>
      <c r="J141" s="85">
        <v>0</v>
      </c>
      <c r="K141" s="85">
        <v>0</v>
      </c>
      <c r="L141" s="85">
        <v>2122</v>
      </c>
      <c r="M141" s="85">
        <v>0</v>
      </c>
      <c r="N141" s="85">
        <v>0</v>
      </c>
      <c r="O141" s="15"/>
      <c r="P141" s="15"/>
      <c r="Q141" s="15"/>
    </row>
    <row r="142" spans="2:17" x14ac:dyDescent="0.2">
      <c r="B142" s="87"/>
      <c r="C142" s="87"/>
      <c r="D142" s="229" t="s">
        <v>149</v>
      </c>
      <c r="E142" s="230"/>
      <c r="F142" s="231"/>
      <c r="G142" s="86">
        <v>425</v>
      </c>
      <c r="H142" s="86">
        <v>0</v>
      </c>
      <c r="I142" s="86">
        <v>0</v>
      </c>
      <c r="J142" s="85">
        <v>3475</v>
      </c>
      <c r="K142" s="85">
        <v>5550</v>
      </c>
      <c r="L142" s="85">
        <v>3000</v>
      </c>
      <c r="M142" s="85">
        <v>2847</v>
      </c>
      <c r="N142" s="85">
        <v>2500</v>
      </c>
      <c r="O142" s="15"/>
      <c r="P142" s="15"/>
      <c r="Q142" s="15"/>
    </row>
    <row r="143" spans="2:17" x14ac:dyDescent="0.2">
      <c r="B143" s="87"/>
      <c r="C143" s="87"/>
      <c r="D143" s="229" t="s">
        <v>150</v>
      </c>
      <c r="E143" s="230"/>
      <c r="F143" s="231"/>
      <c r="G143" s="86">
        <v>78902</v>
      </c>
      <c r="H143" s="86">
        <v>178897</v>
      </c>
      <c r="I143" s="86">
        <v>296034</v>
      </c>
      <c r="J143" s="85">
        <v>212389</v>
      </c>
      <c r="K143" s="85">
        <v>114579</v>
      </c>
      <c r="L143" s="85">
        <v>150000</v>
      </c>
      <c r="M143" s="85">
        <v>176954</v>
      </c>
      <c r="N143" s="85">
        <v>150000</v>
      </c>
      <c r="O143" s="15"/>
      <c r="P143" s="15"/>
      <c r="Q143" s="15"/>
    </row>
    <row r="144" spans="2:17" x14ac:dyDescent="0.2">
      <c r="B144" s="87"/>
      <c r="C144" s="87"/>
      <c r="D144" s="229" t="s">
        <v>151</v>
      </c>
      <c r="E144" s="230"/>
      <c r="F144" s="231"/>
      <c r="G144" s="86">
        <v>590</v>
      </c>
      <c r="H144" s="86">
        <v>298707</v>
      </c>
      <c r="I144" s="86">
        <v>0</v>
      </c>
      <c r="J144" s="85">
        <v>2182</v>
      </c>
      <c r="K144" s="85">
        <v>0</v>
      </c>
      <c r="L144" s="85">
        <v>0</v>
      </c>
      <c r="M144" s="85">
        <v>0</v>
      </c>
      <c r="N144" s="85">
        <v>0</v>
      </c>
      <c r="O144" s="15"/>
      <c r="P144" s="15"/>
      <c r="Q144" s="15"/>
    </row>
    <row r="145" spans="1:17" x14ac:dyDescent="0.2">
      <c r="B145" s="87"/>
      <c r="C145" s="87"/>
      <c r="D145" s="229" t="s">
        <v>152</v>
      </c>
      <c r="E145" s="230"/>
      <c r="F145" s="231"/>
      <c r="G145" s="86">
        <v>3081934</v>
      </c>
      <c r="H145" s="86">
        <v>1629233</v>
      </c>
      <c r="I145" s="86">
        <v>21869</v>
      </c>
      <c r="J145" s="85">
        <v>0</v>
      </c>
      <c r="K145" s="85">
        <v>0</v>
      </c>
      <c r="L145" s="85">
        <v>0</v>
      </c>
      <c r="M145" s="85">
        <v>0</v>
      </c>
      <c r="N145" s="85">
        <v>0</v>
      </c>
      <c r="O145" s="15"/>
      <c r="P145" s="15"/>
      <c r="Q145" s="15"/>
    </row>
    <row r="146" spans="1:17" x14ac:dyDescent="0.2">
      <c r="B146" s="87"/>
      <c r="C146" s="87"/>
      <c r="D146" s="229" t="s">
        <v>153</v>
      </c>
      <c r="E146" s="230"/>
      <c r="F146" s="231"/>
      <c r="G146" s="86">
        <v>1200000</v>
      </c>
      <c r="H146" s="86">
        <v>400000</v>
      </c>
      <c r="I146" s="86">
        <v>192039</v>
      </c>
      <c r="J146" s="85">
        <v>0</v>
      </c>
      <c r="K146" s="85">
        <v>0</v>
      </c>
      <c r="L146" s="85">
        <v>0</v>
      </c>
      <c r="M146" s="85">
        <v>0</v>
      </c>
      <c r="N146" s="85">
        <v>0</v>
      </c>
      <c r="O146" s="15"/>
      <c r="P146" s="15"/>
      <c r="Q146" s="15"/>
    </row>
    <row r="147" spans="1:17" x14ac:dyDescent="0.2">
      <c r="B147" s="87"/>
      <c r="C147" s="87"/>
      <c r="D147" s="229" t="s">
        <v>154</v>
      </c>
      <c r="E147" s="230"/>
      <c r="F147" s="231"/>
      <c r="G147" s="86">
        <v>2300000</v>
      </c>
      <c r="H147" s="86">
        <v>2300000</v>
      </c>
      <c r="I147" s="86">
        <v>2300000</v>
      </c>
      <c r="J147" s="85">
        <v>2300000</v>
      </c>
      <c r="K147" s="85">
        <v>2300000</v>
      </c>
      <c r="L147" s="85">
        <v>2800000</v>
      </c>
      <c r="M147" s="85">
        <v>2800000</v>
      </c>
      <c r="N147" s="85">
        <v>2800000</v>
      </c>
      <c r="O147" s="15"/>
      <c r="P147" s="15"/>
      <c r="Q147" s="15"/>
    </row>
    <row r="148" spans="1:17" x14ac:dyDescent="0.2">
      <c r="B148" s="87"/>
      <c r="C148" s="87"/>
      <c r="D148" s="229" t="s">
        <v>155</v>
      </c>
      <c r="E148" s="230"/>
      <c r="F148" s="231"/>
      <c r="G148" s="86">
        <v>525000</v>
      </c>
      <c r="H148" s="86">
        <v>525000</v>
      </c>
      <c r="I148" s="86">
        <v>525000</v>
      </c>
      <c r="J148" s="85">
        <v>525000</v>
      </c>
      <c r="K148" s="85">
        <v>525000</v>
      </c>
      <c r="L148" s="85">
        <v>540750</v>
      </c>
      <c r="M148" s="85">
        <v>540750</v>
      </c>
      <c r="N148" s="85">
        <v>540750</v>
      </c>
      <c r="O148" s="15"/>
      <c r="P148" s="15"/>
      <c r="Q148" s="15"/>
    </row>
    <row r="149" spans="1:17" x14ac:dyDescent="0.2">
      <c r="B149" s="87"/>
      <c r="C149" s="87"/>
      <c r="D149" s="229" t="s">
        <v>156</v>
      </c>
      <c r="E149" s="230"/>
      <c r="F149" s="231"/>
      <c r="G149" s="86">
        <v>208120</v>
      </c>
      <c r="H149" s="86">
        <v>322920</v>
      </c>
      <c r="I149" s="86">
        <v>0</v>
      </c>
      <c r="J149" s="85">
        <v>235009</v>
      </c>
      <c r="K149" s="85">
        <v>0</v>
      </c>
      <c r="L149" s="85">
        <v>0</v>
      </c>
      <c r="M149" s="85">
        <v>0</v>
      </c>
      <c r="N149" s="85">
        <v>0</v>
      </c>
      <c r="O149" s="15"/>
      <c r="P149" s="15"/>
      <c r="Q149" s="15"/>
    </row>
    <row r="150" spans="1:17" x14ac:dyDescent="0.2">
      <c r="B150" s="87"/>
      <c r="C150" s="87"/>
      <c r="D150" s="229" t="s">
        <v>157</v>
      </c>
      <c r="E150" s="230"/>
      <c r="F150" s="231"/>
      <c r="G150" s="86">
        <v>0</v>
      </c>
      <c r="H150" s="86">
        <v>0</v>
      </c>
      <c r="I150" s="86">
        <v>0</v>
      </c>
      <c r="J150" s="85">
        <v>97714</v>
      </c>
      <c r="K150" s="85">
        <v>195428</v>
      </c>
      <c r="L150" s="85">
        <v>201291</v>
      </c>
      <c r="M150" s="85">
        <v>0</v>
      </c>
      <c r="N150" s="85">
        <v>0</v>
      </c>
      <c r="O150" s="15"/>
      <c r="P150" s="15"/>
      <c r="Q150" s="15"/>
    </row>
    <row r="151" spans="1:17" x14ac:dyDescent="0.2">
      <c r="B151" s="87"/>
      <c r="C151" s="87"/>
      <c r="D151" s="229" t="s">
        <v>158</v>
      </c>
      <c r="E151" s="230"/>
      <c r="F151" s="231"/>
      <c r="G151" s="86">
        <v>0</v>
      </c>
      <c r="H151" s="86">
        <v>5789000</v>
      </c>
      <c r="I151" s="86">
        <v>0</v>
      </c>
      <c r="J151" s="85">
        <v>0</v>
      </c>
      <c r="K151" s="85">
        <v>0</v>
      </c>
      <c r="L151" s="85">
        <v>0</v>
      </c>
      <c r="M151" s="85">
        <v>0</v>
      </c>
      <c r="N151" s="85">
        <v>0</v>
      </c>
      <c r="O151" s="15"/>
      <c r="P151" s="15"/>
      <c r="Q151" s="15"/>
    </row>
    <row r="152" spans="1:17" x14ac:dyDescent="0.2">
      <c r="B152" s="87"/>
      <c r="C152" s="256" t="s">
        <v>159</v>
      </c>
      <c r="D152" s="257"/>
      <c r="E152" s="257"/>
      <c r="F152" s="258"/>
      <c r="G152" s="89">
        <f t="shared" ref="G152:N152" si="19">G153+G154</f>
        <v>0</v>
      </c>
      <c r="H152" s="89">
        <f t="shared" si="19"/>
        <v>0</v>
      </c>
      <c r="I152" s="89">
        <f t="shared" si="19"/>
        <v>0</v>
      </c>
      <c r="J152" s="89">
        <f t="shared" si="19"/>
        <v>39014410</v>
      </c>
      <c r="K152" s="89">
        <f t="shared" si="19"/>
        <v>43157414</v>
      </c>
      <c r="L152" s="89">
        <f t="shared" si="19"/>
        <v>54866750</v>
      </c>
      <c r="M152" s="89">
        <f t="shared" si="19"/>
        <v>51471828</v>
      </c>
      <c r="N152" s="89">
        <f t="shared" si="19"/>
        <v>61508458</v>
      </c>
      <c r="O152" s="22"/>
      <c r="P152" s="22"/>
      <c r="Q152" s="22"/>
    </row>
    <row r="153" spans="1:17" x14ac:dyDescent="0.2">
      <c r="B153" s="87"/>
      <c r="C153" s="87"/>
      <c r="D153" s="229" t="s">
        <v>159</v>
      </c>
      <c r="E153" s="230"/>
      <c r="F153" s="231"/>
      <c r="G153" s="86">
        <v>0</v>
      </c>
      <c r="H153" s="86">
        <v>0</v>
      </c>
      <c r="I153" s="86">
        <v>0</v>
      </c>
      <c r="J153" s="88">
        <v>38609943</v>
      </c>
      <c r="K153" s="88">
        <v>42686290</v>
      </c>
      <c r="L153" s="88">
        <v>54323515</v>
      </c>
      <c r="M153" s="88">
        <v>50928593</v>
      </c>
      <c r="N153" s="88">
        <v>60899463</v>
      </c>
      <c r="O153" s="15"/>
      <c r="P153" s="15"/>
      <c r="Q153" s="15"/>
    </row>
    <row r="154" spans="1:17" x14ac:dyDescent="0.2">
      <c r="B154" s="124"/>
      <c r="C154" s="124"/>
      <c r="D154" s="268" t="s">
        <v>160</v>
      </c>
      <c r="E154" s="269"/>
      <c r="F154" s="270"/>
      <c r="G154" s="125">
        <v>0</v>
      </c>
      <c r="H154" s="125">
        <v>0</v>
      </c>
      <c r="I154" s="125">
        <v>0</v>
      </c>
      <c r="J154" s="126">
        <v>404467</v>
      </c>
      <c r="K154" s="126">
        <v>471124</v>
      </c>
      <c r="L154" s="126">
        <v>543235</v>
      </c>
      <c r="M154" s="126">
        <v>543235</v>
      </c>
      <c r="N154" s="126">
        <v>608995</v>
      </c>
      <c r="O154" s="15"/>
      <c r="P154" s="15"/>
      <c r="Q154" s="15"/>
    </row>
    <row r="155" spans="1:17" x14ac:dyDescent="0.2">
      <c r="A155" s="251" t="s">
        <v>161</v>
      </c>
      <c r="B155" s="251"/>
      <c r="C155" s="251"/>
      <c r="D155" s="251"/>
      <c r="E155" s="251"/>
      <c r="F155" s="251"/>
      <c r="G155" s="128">
        <f t="shared" ref="G155:N155" si="20">G156+G885+G947+G953</f>
        <v>232979174.46000001</v>
      </c>
      <c r="H155" s="128">
        <f t="shared" si="20"/>
        <v>227327011</v>
      </c>
      <c r="I155" s="128">
        <f t="shared" si="20"/>
        <v>254298416</v>
      </c>
      <c r="J155" s="128">
        <f t="shared" si="20"/>
        <v>287076639</v>
      </c>
      <c r="K155" s="128">
        <f t="shared" si="20"/>
        <v>300459507.73499995</v>
      </c>
      <c r="L155" s="128">
        <f t="shared" si="20"/>
        <v>340820950</v>
      </c>
      <c r="M155" s="128">
        <f t="shared" si="20"/>
        <v>339802633</v>
      </c>
      <c r="N155" s="128">
        <f t="shared" si="20"/>
        <v>348375228</v>
      </c>
    </row>
    <row r="156" spans="1:17" x14ac:dyDescent="0.2">
      <c r="B156" s="241" t="s">
        <v>162</v>
      </c>
      <c r="C156" s="241"/>
      <c r="D156" s="241"/>
      <c r="E156" s="241"/>
      <c r="F156" s="241"/>
      <c r="G156" s="127">
        <f t="shared" ref="G156:M156" si="21">G157+G169+G181+G314+G365+G375+G389+G409+G415+G444+G488+G505+G674+G759+G817</f>
        <v>134824268.46000001</v>
      </c>
      <c r="H156" s="127">
        <f t="shared" si="21"/>
        <v>124504085</v>
      </c>
      <c r="I156" s="127">
        <f t="shared" si="21"/>
        <v>142908349</v>
      </c>
      <c r="J156" s="127">
        <f t="shared" si="21"/>
        <v>157769173</v>
      </c>
      <c r="K156" s="127">
        <f t="shared" si="21"/>
        <v>170091108.72499999</v>
      </c>
      <c r="L156" s="127">
        <f t="shared" si="21"/>
        <v>193785540</v>
      </c>
      <c r="M156" s="127">
        <f t="shared" si="21"/>
        <v>188095982</v>
      </c>
      <c r="N156" s="127">
        <f>N157+N169+N181+N314+N365+N375+N389+N409+N415+N444+N488+N505+N674+N759+N817</f>
        <v>204651577</v>
      </c>
    </row>
    <row r="157" spans="1:17" x14ac:dyDescent="0.2">
      <c r="B157" s="84"/>
      <c r="C157" s="232" t="s">
        <v>163</v>
      </c>
      <c r="D157" s="232"/>
      <c r="E157" s="232"/>
      <c r="F157" s="232"/>
      <c r="G157" s="83">
        <f t="shared" ref="G157:N157" si="22">G158</f>
        <v>481048</v>
      </c>
      <c r="H157" s="83">
        <f t="shared" si="22"/>
        <v>532032</v>
      </c>
      <c r="I157" s="83">
        <f t="shared" si="22"/>
        <v>514970</v>
      </c>
      <c r="J157" s="83">
        <f t="shared" si="22"/>
        <v>592974</v>
      </c>
      <c r="K157" s="83">
        <f t="shared" si="22"/>
        <v>541314.16</v>
      </c>
      <c r="L157" s="83">
        <f t="shared" si="22"/>
        <v>731997</v>
      </c>
      <c r="M157" s="83">
        <f t="shared" si="22"/>
        <v>615004</v>
      </c>
      <c r="N157" s="83">
        <f t="shared" si="22"/>
        <v>801988</v>
      </c>
    </row>
    <row r="158" spans="1:17" x14ac:dyDescent="0.2">
      <c r="B158" s="67"/>
      <c r="C158" s="66"/>
      <c r="D158" s="212" t="s">
        <v>163</v>
      </c>
      <c r="E158" s="66"/>
      <c r="F158" s="211"/>
      <c r="G158" s="68">
        <f t="shared" ref="G158:N158" si="23">G159+G162+G164</f>
        <v>481048</v>
      </c>
      <c r="H158" s="68">
        <f t="shared" si="23"/>
        <v>532032</v>
      </c>
      <c r="I158" s="68">
        <f t="shared" si="23"/>
        <v>514970</v>
      </c>
      <c r="J158" s="68">
        <f t="shared" si="23"/>
        <v>592974</v>
      </c>
      <c r="K158" s="68">
        <f t="shared" si="23"/>
        <v>541314.16</v>
      </c>
      <c r="L158" s="68">
        <f t="shared" si="23"/>
        <v>731997</v>
      </c>
      <c r="M158" s="68">
        <f t="shared" si="23"/>
        <v>615004</v>
      </c>
      <c r="N158" s="68">
        <f t="shared" si="23"/>
        <v>801988</v>
      </c>
    </row>
    <row r="159" spans="1:17" x14ac:dyDescent="0.2">
      <c r="B159" s="67"/>
      <c r="C159" s="66"/>
      <c r="D159" s="66"/>
      <c r="E159" s="232" t="s">
        <v>164</v>
      </c>
      <c r="F159" s="232"/>
      <c r="G159" s="73">
        <f t="shared" ref="G159:N159" si="24">G160+G161</f>
        <v>474098</v>
      </c>
      <c r="H159" s="73">
        <f t="shared" si="24"/>
        <v>523740</v>
      </c>
      <c r="I159" s="73">
        <f t="shared" si="24"/>
        <v>508105</v>
      </c>
      <c r="J159" s="73">
        <f t="shared" si="24"/>
        <v>519000</v>
      </c>
      <c r="K159" s="73">
        <f t="shared" si="24"/>
        <v>529010.68000000005</v>
      </c>
      <c r="L159" s="73">
        <f t="shared" si="24"/>
        <v>603567</v>
      </c>
      <c r="M159" s="73">
        <f t="shared" si="24"/>
        <v>572614</v>
      </c>
      <c r="N159" s="73">
        <f t="shared" si="24"/>
        <v>616248</v>
      </c>
    </row>
    <row r="160" spans="1:17" x14ac:dyDescent="0.2">
      <c r="B160" s="67"/>
      <c r="C160" s="66"/>
      <c r="D160" s="66"/>
      <c r="E160" s="66"/>
      <c r="F160" s="213" t="s">
        <v>165</v>
      </c>
      <c r="G160" s="162">
        <v>474098</v>
      </c>
      <c r="H160" s="162">
        <v>505151</v>
      </c>
      <c r="I160" s="64">
        <v>478043</v>
      </c>
      <c r="J160" s="64">
        <v>494388</v>
      </c>
      <c r="K160" s="64">
        <v>506311.03</v>
      </c>
      <c r="L160" s="64">
        <v>543567</v>
      </c>
      <c r="M160" s="64">
        <v>542614</v>
      </c>
      <c r="N160" s="64">
        <v>556248</v>
      </c>
    </row>
    <row r="161" spans="2:14" x14ac:dyDescent="0.2">
      <c r="B161" s="67"/>
      <c r="C161" s="66"/>
      <c r="D161" s="66"/>
      <c r="E161" s="66"/>
      <c r="F161" s="213" t="s">
        <v>166</v>
      </c>
      <c r="G161" s="162">
        <v>0</v>
      </c>
      <c r="H161" s="162">
        <v>18589</v>
      </c>
      <c r="I161" s="64">
        <v>30062</v>
      </c>
      <c r="J161" s="64">
        <v>24612</v>
      </c>
      <c r="K161" s="64">
        <v>22699.65</v>
      </c>
      <c r="L161" s="64">
        <v>60000</v>
      </c>
      <c r="M161" s="64">
        <v>30000</v>
      </c>
      <c r="N161" s="64">
        <v>60000</v>
      </c>
    </row>
    <row r="162" spans="2:14" x14ac:dyDescent="0.2">
      <c r="B162" s="67"/>
      <c r="C162" s="66"/>
      <c r="D162" s="66"/>
      <c r="E162" s="235" t="s">
        <v>167</v>
      </c>
      <c r="F162" s="235"/>
      <c r="G162" s="77">
        <f t="shared" ref="G162:N162" si="25">G163</f>
        <v>0</v>
      </c>
      <c r="H162" s="77">
        <f t="shared" si="25"/>
        <v>0</v>
      </c>
      <c r="I162" s="77">
        <f t="shared" si="25"/>
        <v>0</v>
      </c>
      <c r="J162" s="77">
        <f t="shared" si="25"/>
        <v>3958</v>
      </c>
      <c r="K162" s="77">
        <f t="shared" si="25"/>
        <v>0</v>
      </c>
      <c r="L162" s="77">
        <f t="shared" si="25"/>
        <v>0</v>
      </c>
      <c r="M162" s="77">
        <f t="shared" si="25"/>
        <v>0</v>
      </c>
      <c r="N162" s="77">
        <f t="shared" si="25"/>
        <v>0</v>
      </c>
    </row>
    <row r="163" spans="2:14" x14ac:dyDescent="0.2">
      <c r="B163" s="67"/>
      <c r="C163" s="66"/>
      <c r="D163" s="66"/>
      <c r="E163" s="66"/>
      <c r="F163" s="213" t="s">
        <v>168</v>
      </c>
      <c r="G163" s="162">
        <v>0</v>
      </c>
      <c r="H163" s="162">
        <v>0</v>
      </c>
      <c r="I163" s="70">
        <v>0</v>
      </c>
      <c r="J163" s="70">
        <v>3958</v>
      </c>
      <c r="K163" s="70">
        <v>0</v>
      </c>
      <c r="L163" s="70">
        <v>0</v>
      </c>
      <c r="M163" s="70">
        <v>0</v>
      </c>
      <c r="N163" s="70">
        <v>0</v>
      </c>
    </row>
    <row r="164" spans="2:14" x14ac:dyDescent="0.2">
      <c r="B164" s="67"/>
      <c r="C164" s="66"/>
      <c r="D164" s="66"/>
      <c r="E164" s="235" t="s">
        <v>169</v>
      </c>
      <c r="F164" s="235"/>
      <c r="G164" s="65">
        <f t="shared" ref="G164:N164" si="26">SUM(G165:G168)</f>
        <v>6950</v>
      </c>
      <c r="H164" s="65">
        <f t="shared" si="26"/>
        <v>8292</v>
      </c>
      <c r="I164" s="65">
        <f t="shared" si="26"/>
        <v>6865</v>
      </c>
      <c r="J164" s="65">
        <f t="shared" si="26"/>
        <v>70016</v>
      </c>
      <c r="K164" s="65">
        <f t="shared" si="26"/>
        <v>12303.48</v>
      </c>
      <c r="L164" s="65">
        <f t="shared" si="26"/>
        <v>128430</v>
      </c>
      <c r="M164" s="65">
        <f t="shared" si="26"/>
        <v>42390</v>
      </c>
      <c r="N164" s="65">
        <f t="shared" si="26"/>
        <v>185740</v>
      </c>
    </row>
    <row r="165" spans="2:14" x14ac:dyDescent="0.2">
      <c r="B165" s="67"/>
      <c r="C165" s="66"/>
      <c r="D165" s="66"/>
      <c r="E165" s="66"/>
      <c r="F165" s="213" t="s">
        <v>170</v>
      </c>
      <c r="G165" s="162">
        <v>3610</v>
      </c>
      <c r="H165" s="162">
        <v>2854</v>
      </c>
      <c r="I165" s="70">
        <v>3470</v>
      </c>
      <c r="J165" s="70">
        <v>3705</v>
      </c>
      <c r="K165" s="70">
        <v>3848</v>
      </c>
      <c r="L165" s="70">
        <v>5500</v>
      </c>
      <c r="M165" s="70">
        <v>6700</v>
      </c>
      <c r="N165" s="70">
        <v>7700</v>
      </c>
    </row>
    <row r="166" spans="2:14" x14ac:dyDescent="0.2">
      <c r="B166" s="67"/>
      <c r="C166" s="66"/>
      <c r="D166" s="66"/>
      <c r="E166" s="66"/>
      <c r="F166" s="213" t="s">
        <v>171</v>
      </c>
      <c r="G166" s="162">
        <v>528</v>
      </c>
      <c r="H166" s="162">
        <v>16</v>
      </c>
      <c r="I166" s="64">
        <v>487</v>
      </c>
      <c r="J166" s="64">
        <v>62747</v>
      </c>
      <c r="K166" s="70">
        <f>1753.48</f>
        <v>1753.48</v>
      </c>
      <c r="L166" s="64">
        <v>32430</v>
      </c>
      <c r="M166" s="64">
        <v>17140</v>
      </c>
      <c r="N166" s="64">
        <v>2540</v>
      </c>
    </row>
    <row r="167" spans="2:14" x14ac:dyDescent="0.2">
      <c r="B167" s="67"/>
      <c r="C167" s="66"/>
      <c r="D167" s="66"/>
      <c r="E167" s="66"/>
      <c r="F167" s="213" t="s">
        <v>172</v>
      </c>
      <c r="G167" s="162">
        <v>2812</v>
      </c>
      <c r="H167" s="162">
        <v>5422</v>
      </c>
      <c r="I167" s="64">
        <v>2636</v>
      </c>
      <c r="J167" s="64">
        <v>2749</v>
      </c>
      <c r="K167" s="64">
        <v>5178</v>
      </c>
      <c r="L167" s="64">
        <v>80000</v>
      </c>
      <c r="M167" s="64">
        <v>18500</v>
      </c>
      <c r="N167" s="64">
        <v>165000</v>
      </c>
    </row>
    <row r="168" spans="2:14" x14ac:dyDescent="0.2">
      <c r="B168" s="67"/>
      <c r="C168" s="66"/>
      <c r="D168" s="66"/>
      <c r="E168" s="66"/>
      <c r="F168" s="213" t="s">
        <v>173</v>
      </c>
      <c r="G168" s="162">
        <v>0</v>
      </c>
      <c r="H168" s="162">
        <v>0</v>
      </c>
      <c r="I168" s="64">
        <v>272</v>
      </c>
      <c r="J168" s="64">
        <v>815</v>
      </c>
      <c r="K168" s="64">
        <f>729+795</f>
        <v>1524</v>
      </c>
      <c r="L168" s="64">
        <v>10500</v>
      </c>
      <c r="M168" s="64">
        <v>50</v>
      </c>
      <c r="N168" s="64">
        <v>10500</v>
      </c>
    </row>
    <row r="169" spans="2:14" x14ac:dyDescent="0.2">
      <c r="B169" s="67"/>
      <c r="C169" s="212" t="s">
        <v>174</v>
      </c>
      <c r="D169" s="66"/>
      <c r="E169" s="66"/>
      <c r="F169" s="213"/>
      <c r="G169" s="71">
        <f t="shared" ref="G169:N169" si="27">G170</f>
        <v>122524</v>
      </c>
      <c r="H169" s="71">
        <f t="shared" si="27"/>
        <v>126421</v>
      </c>
      <c r="I169" s="71">
        <f t="shared" si="27"/>
        <v>116082</v>
      </c>
      <c r="J169" s="71">
        <f t="shared" si="27"/>
        <v>186849</v>
      </c>
      <c r="K169" s="71">
        <f t="shared" si="27"/>
        <v>259538.33000000002</v>
      </c>
      <c r="L169" s="71">
        <f t="shared" si="27"/>
        <v>390168</v>
      </c>
      <c r="M169" s="71">
        <f t="shared" si="27"/>
        <v>83313</v>
      </c>
      <c r="N169" s="71">
        <f t="shared" si="27"/>
        <v>414844</v>
      </c>
    </row>
    <row r="170" spans="2:14" x14ac:dyDescent="0.2">
      <c r="B170" s="67"/>
      <c r="C170" s="66"/>
      <c r="D170" s="212" t="s">
        <v>174</v>
      </c>
      <c r="E170" s="66"/>
      <c r="F170" s="213"/>
      <c r="G170" s="71">
        <f t="shared" ref="G170:N170" si="28">G171+G174+G176</f>
        <v>122524</v>
      </c>
      <c r="H170" s="71">
        <f t="shared" si="28"/>
        <v>126421</v>
      </c>
      <c r="I170" s="71">
        <f t="shared" si="28"/>
        <v>116082</v>
      </c>
      <c r="J170" s="71">
        <f t="shared" si="28"/>
        <v>186849</v>
      </c>
      <c r="K170" s="71">
        <f t="shared" si="28"/>
        <v>259538.33000000002</v>
      </c>
      <c r="L170" s="71">
        <f t="shared" si="28"/>
        <v>390168</v>
      </c>
      <c r="M170" s="71">
        <f t="shared" si="28"/>
        <v>83313</v>
      </c>
      <c r="N170" s="71">
        <f t="shared" si="28"/>
        <v>414844</v>
      </c>
    </row>
    <row r="171" spans="2:14" x14ac:dyDescent="0.2">
      <c r="B171" s="67"/>
      <c r="C171" s="66"/>
      <c r="D171" s="66"/>
      <c r="E171" s="232" t="s">
        <v>164</v>
      </c>
      <c r="F171" s="232"/>
      <c r="G171" s="73">
        <f t="shared" ref="G171:N171" si="29">G172+G173</f>
        <v>97782</v>
      </c>
      <c r="H171" s="73">
        <f t="shared" si="29"/>
        <v>101681</v>
      </c>
      <c r="I171" s="73">
        <f t="shared" si="29"/>
        <v>81359</v>
      </c>
      <c r="J171" s="73">
        <f t="shared" si="29"/>
        <v>145865</v>
      </c>
      <c r="K171" s="73">
        <f t="shared" si="29"/>
        <v>183059.63</v>
      </c>
      <c r="L171" s="73">
        <f t="shared" si="29"/>
        <v>304803</v>
      </c>
      <c r="M171" s="73">
        <f t="shared" si="29"/>
        <v>67338</v>
      </c>
      <c r="N171" s="73">
        <f t="shared" si="29"/>
        <v>315304</v>
      </c>
    </row>
    <row r="172" spans="2:14" x14ac:dyDescent="0.2">
      <c r="B172" s="67"/>
      <c r="C172" s="66"/>
      <c r="D172" s="66"/>
      <c r="E172" s="66"/>
      <c r="F172" s="213" t="s">
        <v>165</v>
      </c>
      <c r="G172" s="162">
        <v>97085</v>
      </c>
      <c r="H172" s="162">
        <v>101681</v>
      </c>
      <c r="I172" s="64">
        <v>81359</v>
      </c>
      <c r="J172" s="64">
        <v>143720</v>
      </c>
      <c r="K172" s="64">
        <v>183007.94</v>
      </c>
      <c r="L172" s="64">
        <v>304803</v>
      </c>
      <c r="M172" s="64">
        <v>56338</v>
      </c>
      <c r="N172" s="64">
        <v>285304</v>
      </c>
    </row>
    <row r="173" spans="2:14" x14ac:dyDescent="0.2">
      <c r="B173" s="67"/>
      <c r="C173" s="66"/>
      <c r="D173" s="66"/>
      <c r="E173" s="66"/>
      <c r="F173" s="213" t="s">
        <v>166</v>
      </c>
      <c r="G173" s="162">
        <v>697</v>
      </c>
      <c r="H173" s="162">
        <v>0</v>
      </c>
      <c r="I173" s="64">
        <v>0</v>
      </c>
      <c r="J173" s="64">
        <v>2145</v>
      </c>
      <c r="K173" s="64">
        <v>51.69</v>
      </c>
      <c r="L173" s="64">
        <v>0</v>
      </c>
      <c r="M173" s="64">
        <v>11000</v>
      </c>
      <c r="N173" s="64">
        <v>30000</v>
      </c>
    </row>
    <row r="174" spans="2:14" x14ac:dyDescent="0.2">
      <c r="B174" s="67"/>
      <c r="C174" s="66"/>
      <c r="D174" s="66"/>
      <c r="E174" s="235" t="s">
        <v>167</v>
      </c>
      <c r="F174" s="235"/>
      <c r="G174" s="71">
        <f t="shared" ref="G174:N174" si="30">G175</f>
        <v>0</v>
      </c>
      <c r="H174" s="71">
        <f t="shared" si="30"/>
        <v>0</v>
      </c>
      <c r="I174" s="71">
        <f t="shared" si="30"/>
        <v>0</v>
      </c>
      <c r="J174" s="71">
        <f t="shared" si="30"/>
        <v>0</v>
      </c>
      <c r="K174" s="71">
        <f t="shared" si="30"/>
        <v>1448.15</v>
      </c>
      <c r="L174" s="71">
        <f t="shared" si="30"/>
        <v>0</v>
      </c>
      <c r="M174" s="71">
        <f t="shared" si="30"/>
        <v>0</v>
      </c>
      <c r="N174" s="71">
        <f t="shared" si="30"/>
        <v>0</v>
      </c>
    </row>
    <row r="175" spans="2:14" x14ac:dyDescent="0.2">
      <c r="B175" s="67"/>
      <c r="C175" s="66"/>
      <c r="D175" s="66"/>
      <c r="E175" s="66"/>
      <c r="F175" s="213" t="s">
        <v>168</v>
      </c>
      <c r="G175" s="162">
        <v>0</v>
      </c>
      <c r="H175" s="162">
        <v>0</v>
      </c>
      <c r="I175" s="64">
        <v>0</v>
      </c>
      <c r="J175" s="64">
        <v>0</v>
      </c>
      <c r="K175" s="64">
        <f>1448.15</f>
        <v>1448.15</v>
      </c>
      <c r="L175" s="64">
        <v>0</v>
      </c>
      <c r="M175" s="64">
        <v>0</v>
      </c>
      <c r="N175" s="64">
        <v>0</v>
      </c>
    </row>
    <row r="176" spans="2:14" x14ac:dyDescent="0.2">
      <c r="B176" s="67"/>
      <c r="C176" s="66"/>
      <c r="D176" s="66"/>
      <c r="E176" s="235" t="s">
        <v>175</v>
      </c>
      <c r="F176" s="235"/>
      <c r="G176" s="74">
        <f t="shared" ref="G176:N176" si="31">SUM(G177:G180)</f>
        <v>24742</v>
      </c>
      <c r="H176" s="74">
        <f t="shared" si="31"/>
        <v>24740</v>
      </c>
      <c r="I176" s="74">
        <f t="shared" si="31"/>
        <v>34723</v>
      </c>
      <c r="J176" s="74">
        <f t="shared" si="31"/>
        <v>40984</v>
      </c>
      <c r="K176" s="74">
        <f t="shared" si="31"/>
        <v>75030.55</v>
      </c>
      <c r="L176" s="74">
        <f t="shared" si="31"/>
        <v>85365</v>
      </c>
      <c r="M176" s="74">
        <f t="shared" si="31"/>
        <v>15975</v>
      </c>
      <c r="N176" s="74">
        <f t="shared" si="31"/>
        <v>99540</v>
      </c>
    </row>
    <row r="177" spans="2:14" x14ac:dyDescent="0.2">
      <c r="B177" s="67"/>
      <c r="C177" s="66"/>
      <c r="D177" s="66"/>
      <c r="E177" s="66"/>
      <c r="F177" s="213" t="s">
        <v>170</v>
      </c>
      <c r="G177" s="162">
        <v>2103</v>
      </c>
      <c r="H177" s="162">
        <v>1566</v>
      </c>
      <c r="I177" s="64">
        <v>2179</v>
      </c>
      <c r="J177" s="64">
        <v>3103</v>
      </c>
      <c r="K177" s="64">
        <f>2379.65+1482.57</f>
        <v>3862.2200000000003</v>
      </c>
      <c r="L177" s="64">
        <v>3500</v>
      </c>
      <c r="M177" s="64">
        <v>1850</v>
      </c>
      <c r="N177" s="64">
        <v>3500</v>
      </c>
    </row>
    <row r="178" spans="2:14" x14ac:dyDescent="0.2">
      <c r="B178" s="67"/>
      <c r="C178" s="66"/>
      <c r="D178" s="66"/>
      <c r="E178" s="66"/>
      <c r="F178" s="213" t="s">
        <v>171</v>
      </c>
      <c r="G178" s="162">
        <v>519</v>
      </c>
      <c r="H178" s="162">
        <v>553</v>
      </c>
      <c r="I178" s="64">
        <v>2899</v>
      </c>
      <c r="J178" s="64">
        <v>7350</v>
      </c>
      <c r="K178" s="64">
        <f>6678.67+2947.19+3649.27+2966.56</f>
        <v>16241.69</v>
      </c>
      <c r="L178" s="64">
        <v>28450</v>
      </c>
      <c r="M178" s="64">
        <v>1350</v>
      </c>
      <c r="N178" s="64">
        <v>27625</v>
      </c>
    </row>
    <row r="179" spans="2:14" x14ac:dyDescent="0.2">
      <c r="B179" s="67"/>
      <c r="C179" s="66"/>
      <c r="D179" s="66"/>
      <c r="E179" s="66"/>
      <c r="F179" s="213" t="s">
        <v>172</v>
      </c>
      <c r="G179" s="162">
        <v>17861</v>
      </c>
      <c r="H179" s="162">
        <v>20215</v>
      </c>
      <c r="I179" s="64">
        <v>28676</v>
      </c>
      <c r="J179" s="64">
        <v>22691</v>
      </c>
      <c r="K179" s="64">
        <f>51299.64</f>
        <v>51299.64</v>
      </c>
      <c r="L179" s="64">
        <v>47450</v>
      </c>
      <c r="M179" s="81">
        <v>11475</v>
      </c>
      <c r="N179" s="81">
        <v>47450</v>
      </c>
    </row>
    <row r="180" spans="2:14" x14ac:dyDescent="0.2">
      <c r="B180" s="67"/>
      <c r="C180" s="66"/>
      <c r="D180" s="66"/>
      <c r="E180" s="66"/>
      <c r="F180" s="213" t="s">
        <v>173</v>
      </c>
      <c r="G180" s="162">
        <v>4259</v>
      </c>
      <c r="H180" s="162">
        <v>2406</v>
      </c>
      <c r="I180" s="64">
        <v>969</v>
      </c>
      <c r="J180" s="64">
        <v>7840</v>
      </c>
      <c r="K180" s="64">
        <v>3627</v>
      </c>
      <c r="L180" s="64">
        <v>5965</v>
      </c>
      <c r="M180" s="64">
        <v>1300</v>
      </c>
      <c r="N180" s="64">
        <v>20965</v>
      </c>
    </row>
    <row r="181" spans="2:14" x14ac:dyDescent="0.2">
      <c r="B181" s="67"/>
      <c r="C181" s="236" t="s">
        <v>176</v>
      </c>
      <c r="D181" s="236"/>
      <c r="E181" s="236"/>
      <c r="F181" s="236"/>
      <c r="G181" s="71">
        <f t="shared" ref="G181:M181" si="32">G182+G196+G199+G211+G223+G235+G245+G263+G279+G292+G298+G252</f>
        <v>4260079</v>
      </c>
      <c r="H181" s="71">
        <f t="shared" si="32"/>
        <v>4404024</v>
      </c>
      <c r="I181" s="71">
        <f t="shared" si="32"/>
        <v>5295162</v>
      </c>
      <c r="J181" s="71">
        <f t="shared" si="32"/>
        <v>7175904</v>
      </c>
      <c r="K181" s="71">
        <f t="shared" si="32"/>
        <v>8915555.3849999998</v>
      </c>
      <c r="L181" s="71">
        <f t="shared" si="32"/>
        <v>9611093</v>
      </c>
      <c r="M181" s="71">
        <f t="shared" si="32"/>
        <v>10077687</v>
      </c>
      <c r="N181" s="71">
        <f>N182+N196+N199+N211+N223+N235+N245+N252+N263+N279+N292+N298</f>
        <v>11384810</v>
      </c>
    </row>
    <row r="182" spans="2:14" x14ac:dyDescent="0.2">
      <c r="B182" s="67"/>
      <c r="C182" s="66"/>
      <c r="D182" s="236" t="s">
        <v>177</v>
      </c>
      <c r="E182" s="236"/>
      <c r="F182" s="236"/>
      <c r="G182" s="71">
        <f t="shared" ref="G182:M182" si="33">G183+G188</f>
        <v>645274</v>
      </c>
      <c r="H182" s="71">
        <f t="shared" si="33"/>
        <v>602204</v>
      </c>
      <c r="I182" s="71">
        <f t="shared" si="33"/>
        <v>439843</v>
      </c>
      <c r="J182" s="71">
        <f t="shared" si="33"/>
        <v>780940</v>
      </c>
      <c r="K182" s="71">
        <f t="shared" si="33"/>
        <v>925639.73999999987</v>
      </c>
      <c r="L182" s="71">
        <f t="shared" si="33"/>
        <v>967374</v>
      </c>
      <c r="M182" s="71">
        <f t="shared" si="33"/>
        <v>989508</v>
      </c>
      <c r="N182" s="71">
        <f>N183+N188</f>
        <v>1055224</v>
      </c>
    </row>
    <row r="183" spans="2:14" x14ac:dyDescent="0.2">
      <c r="B183" s="67"/>
      <c r="C183" s="66"/>
      <c r="D183" s="66"/>
      <c r="E183" s="232" t="s">
        <v>164</v>
      </c>
      <c r="F183" s="232"/>
      <c r="G183" s="71">
        <f>SUM(G184:G187)</f>
        <v>628247</v>
      </c>
      <c r="H183" s="71">
        <f t="shared" ref="H183:N183" si="34">SUM(H184:H187)</f>
        <v>598215</v>
      </c>
      <c r="I183" s="71">
        <f t="shared" si="34"/>
        <v>416032</v>
      </c>
      <c r="J183" s="71">
        <f t="shared" si="34"/>
        <v>653074</v>
      </c>
      <c r="K183" s="71">
        <f t="shared" si="34"/>
        <v>718327.87999999989</v>
      </c>
      <c r="L183" s="71">
        <f t="shared" si="34"/>
        <v>725890</v>
      </c>
      <c r="M183" s="71">
        <f t="shared" si="34"/>
        <v>749865</v>
      </c>
      <c r="N183" s="71">
        <f t="shared" si="34"/>
        <v>759456</v>
      </c>
    </row>
    <row r="184" spans="2:14" x14ac:dyDescent="0.2">
      <c r="B184" s="67"/>
      <c r="C184" s="66"/>
      <c r="D184" s="66"/>
      <c r="E184" s="66"/>
      <c r="F184" s="213" t="s">
        <v>165</v>
      </c>
      <c r="G184" s="162">
        <v>627070</v>
      </c>
      <c r="H184" s="162">
        <v>595319</v>
      </c>
      <c r="I184" s="64">
        <v>599301</v>
      </c>
      <c r="J184" s="64">
        <v>713351</v>
      </c>
      <c r="K184" s="64">
        <v>783754.44</v>
      </c>
      <c r="L184" s="64">
        <v>773530</v>
      </c>
      <c r="M184" s="64">
        <v>797380</v>
      </c>
      <c r="N184" s="64">
        <v>807519</v>
      </c>
    </row>
    <row r="185" spans="2:14" x14ac:dyDescent="0.2">
      <c r="B185" s="67"/>
      <c r="C185" s="66"/>
      <c r="D185" s="66"/>
      <c r="E185" s="66"/>
      <c r="F185" s="213" t="s">
        <v>178</v>
      </c>
      <c r="G185" s="162">
        <v>1177</v>
      </c>
      <c r="H185" s="162">
        <v>3532</v>
      </c>
      <c r="I185" s="64">
        <v>0</v>
      </c>
      <c r="J185" s="64">
        <v>0</v>
      </c>
      <c r="K185" s="64">
        <v>0</v>
      </c>
      <c r="L185" s="64">
        <v>0</v>
      </c>
      <c r="M185" s="64">
        <v>0</v>
      </c>
      <c r="N185" s="64">
        <v>0</v>
      </c>
    </row>
    <row r="186" spans="2:14" x14ac:dyDescent="0.2">
      <c r="B186" s="67"/>
      <c r="C186" s="66"/>
      <c r="D186" s="66"/>
      <c r="E186" s="66"/>
      <c r="F186" s="213" t="s">
        <v>179</v>
      </c>
      <c r="G186" s="162">
        <v>0</v>
      </c>
      <c r="H186" s="162">
        <v>-636</v>
      </c>
      <c r="I186" s="162">
        <v>0</v>
      </c>
      <c r="J186" s="162">
        <v>0</v>
      </c>
      <c r="K186" s="162">
        <v>0</v>
      </c>
      <c r="L186" s="162">
        <v>0</v>
      </c>
      <c r="M186" s="64">
        <v>0</v>
      </c>
      <c r="N186" s="64">
        <v>0</v>
      </c>
    </row>
    <row r="187" spans="2:14" x14ac:dyDescent="0.2">
      <c r="B187" s="67"/>
      <c r="C187" s="66"/>
      <c r="D187" s="66"/>
      <c r="E187" s="66"/>
      <c r="F187" s="213" t="s">
        <v>180</v>
      </c>
      <c r="G187" s="162">
        <v>0</v>
      </c>
      <c r="H187" s="162">
        <v>0</v>
      </c>
      <c r="I187" s="64">
        <v>-183269</v>
      </c>
      <c r="J187" s="64">
        <v>-60277</v>
      </c>
      <c r="K187" s="64">
        <f>-65426.56</f>
        <v>-65426.559999999998</v>
      </c>
      <c r="L187" s="64">
        <v>-47640</v>
      </c>
      <c r="M187" s="64">
        <v>-47515</v>
      </c>
      <c r="N187" s="64">
        <v>-48063</v>
      </c>
    </row>
    <row r="188" spans="2:14" x14ac:dyDescent="0.2">
      <c r="B188" s="67"/>
      <c r="C188" s="66"/>
      <c r="D188" s="66"/>
      <c r="E188" s="235" t="s">
        <v>175</v>
      </c>
      <c r="F188" s="235"/>
      <c r="G188" s="68">
        <f t="shared" ref="G188:N188" si="35">SUM(G189:G195)</f>
        <v>17027</v>
      </c>
      <c r="H188" s="68">
        <f t="shared" si="35"/>
        <v>3989</v>
      </c>
      <c r="I188" s="68">
        <f t="shared" si="35"/>
        <v>23811</v>
      </c>
      <c r="J188" s="68">
        <f t="shared" si="35"/>
        <v>127866</v>
      </c>
      <c r="K188" s="68">
        <f t="shared" si="35"/>
        <v>207311.86</v>
      </c>
      <c r="L188" s="68">
        <f t="shared" si="35"/>
        <v>241484</v>
      </c>
      <c r="M188" s="68">
        <f t="shared" si="35"/>
        <v>239643</v>
      </c>
      <c r="N188" s="68">
        <f t="shared" si="35"/>
        <v>295768</v>
      </c>
    </row>
    <row r="189" spans="2:14" x14ac:dyDescent="0.2">
      <c r="B189" s="67"/>
      <c r="C189" s="66"/>
      <c r="D189" s="66"/>
      <c r="E189" s="66"/>
      <c r="F189" s="213" t="s">
        <v>170</v>
      </c>
      <c r="G189" s="162">
        <v>6652</v>
      </c>
      <c r="H189" s="162">
        <v>3506</v>
      </c>
      <c r="I189" s="64">
        <v>5237</v>
      </c>
      <c r="J189" s="64">
        <v>5347</v>
      </c>
      <c r="K189" s="64">
        <f>4459.67+767.91</f>
        <v>5227.58</v>
      </c>
      <c r="L189" s="64">
        <v>13000</v>
      </c>
      <c r="M189" s="64">
        <v>10650</v>
      </c>
      <c r="N189" s="64">
        <v>13000</v>
      </c>
    </row>
    <row r="190" spans="2:14" x14ac:dyDescent="0.2">
      <c r="B190" s="67"/>
      <c r="C190" s="66"/>
      <c r="D190" s="66"/>
      <c r="E190" s="66"/>
      <c r="F190" s="213" t="s">
        <v>171</v>
      </c>
      <c r="G190" s="162">
        <v>2976</v>
      </c>
      <c r="H190" s="162">
        <v>383</v>
      </c>
      <c r="I190" s="64">
        <v>937</v>
      </c>
      <c r="J190" s="64">
        <v>7909</v>
      </c>
      <c r="K190" s="64">
        <f>2471.92+120</f>
        <v>2591.92</v>
      </c>
      <c r="L190" s="64">
        <v>6800</v>
      </c>
      <c r="M190" s="64">
        <v>3700</v>
      </c>
      <c r="N190" s="64">
        <v>7800</v>
      </c>
    </row>
    <row r="191" spans="2:14" x14ac:dyDescent="0.2">
      <c r="B191" s="67"/>
      <c r="C191" s="66"/>
      <c r="D191" s="66"/>
      <c r="E191" s="66"/>
      <c r="F191" s="213" t="s">
        <v>172</v>
      </c>
      <c r="G191" s="162">
        <v>0</v>
      </c>
      <c r="H191" s="162">
        <v>0</v>
      </c>
      <c r="I191" s="64">
        <v>12500</v>
      </c>
      <c r="J191" s="64">
        <v>5300</v>
      </c>
      <c r="K191" s="64">
        <v>0</v>
      </c>
      <c r="L191" s="64">
        <v>0</v>
      </c>
      <c r="M191" s="64">
        <v>0</v>
      </c>
      <c r="N191" s="64">
        <v>0</v>
      </c>
    </row>
    <row r="192" spans="2:14" x14ac:dyDescent="0.2">
      <c r="B192" s="67"/>
      <c r="C192" s="66"/>
      <c r="D192" s="66"/>
      <c r="E192" s="66"/>
      <c r="F192" s="213" t="s">
        <v>173</v>
      </c>
      <c r="G192" s="162">
        <v>7399</v>
      </c>
      <c r="H192" s="162">
        <v>100</v>
      </c>
      <c r="I192" s="64">
        <v>5137</v>
      </c>
      <c r="J192" s="64">
        <v>14131</v>
      </c>
      <c r="K192" s="64">
        <f>15403.5+730+640</f>
        <v>16773.5</v>
      </c>
      <c r="L192" s="64">
        <v>21520</v>
      </c>
      <c r="M192" s="64">
        <v>10620</v>
      </c>
      <c r="N192" s="64">
        <v>20120</v>
      </c>
    </row>
    <row r="193" spans="2:14" x14ac:dyDescent="0.2">
      <c r="B193" s="67"/>
      <c r="C193" s="66"/>
      <c r="D193" s="66"/>
      <c r="E193" s="66"/>
      <c r="F193" s="213" t="s">
        <v>181</v>
      </c>
      <c r="G193" s="162">
        <v>0</v>
      </c>
      <c r="H193" s="162">
        <v>0</v>
      </c>
      <c r="I193" s="64">
        <v>0</v>
      </c>
      <c r="J193" s="64">
        <v>166683</v>
      </c>
      <c r="K193" s="64">
        <v>285389.74</v>
      </c>
      <c r="L193" s="64">
        <v>200164</v>
      </c>
      <c r="M193" s="64">
        <v>214673</v>
      </c>
      <c r="N193" s="64">
        <v>254848</v>
      </c>
    </row>
    <row r="194" spans="2:14" x14ac:dyDescent="0.2">
      <c r="B194" s="67"/>
      <c r="C194" s="66"/>
      <c r="D194" s="66"/>
      <c r="E194" s="66"/>
      <c r="F194" s="213" t="s">
        <v>182</v>
      </c>
      <c r="G194" s="162">
        <v>0</v>
      </c>
      <c r="H194" s="162">
        <v>0</v>
      </c>
      <c r="I194" s="64">
        <v>0</v>
      </c>
      <c r="J194" s="64">
        <v>125</v>
      </c>
      <c r="K194" s="64">
        <v>0</v>
      </c>
      <c r="L194" s="64">
        <v>0</v>
      </c>
      <c r="M194" s="64">
        <v>0</v>
      </c>
      <c r="N194" s="64">
        <v>0</v>
      </c>
    </row>
    <row r="195" spans="2:14" x14ac:dyDescent="0.2">
      <c r="B195" s="67"/>
      <c r="C195" s="66"/>
      <c r="D195" s="66"/>
      <c r="E195" s="66"/>
      <c r="F195" s="213" t="s">
        <v>183</v>
      </c>
      <c r="G195" s="162">
        <v>0</v>
      </c>
      <c r="H195" s="162">
        <v>0</v>
      </c>
      <c r="I195" s="64">
        <v>0</v>
      </c>
      <c r="J195" s="64">
        <v>-71629</v>
      </c>
      <c r="K195" s="64">
        <v>-102670.88</v>
      </c>
      <c r="L195" s="64">
        <v>0</v>
      </c>
      <c r="M195" s="64">
        <v>0</v>
      </c>
      <c r="N195" s="64">
        <v>0</v>
      </c>
    </row>
    <row r="196" spans="2:14" x14ac:dyDescent="0.2">
      <c r="B196" s="67"/>
      <c r="C196" s="66"/>
      <c r="D196" s="236" t="s">
        <v>184</v>
      </c>
      <c r="E196" s="236"/>
      <c r="F196" s="236"/>
      <c r="G196" s="71">
        <f t="shared" ref="G196:N197" si="36">G197</f>
        <v>100407</v>
      </c>
      <c r="H196" s="71">
        <f t="shared" si="36"/>
        <v>100023</v>
      </c>
      <c r="I196" s="71">
        <f t="shared" si="36"/>
        <v>104075</v>
      </c>
      <c r="J196" s="71">
        <f t="shared" si="36"/>
        <v>112137</v>
      </c>
      <c r="K196" s="71">
        <f t="shared" si="36"/>
        <v>137630.64000000001</v>
      </c>
      <c r="L196" s="71">
        <f t="shared" si="36"/>
        <v>141184</v>
      </c>
      <c r="M196" s="71">
        <f t="shared" si="36"/>
        <v>174704</v>
      </c>
      <c r="N196" s="71">
        <f t="shared" si="36"/>
        <v>148374</v>
      </c>
    </row>
    <row r="197" spans="2:14" x14ac:dyDescent="0.2">
      <c r="B197" s="67"/>
      <c r="C197" s="66"/>
      <c r="D197" s="66"/>
      <c r="E197" s="233" t="s">
        <v>164</v>
      </c>
      <c r="F197" s="233"/>
      <c r="G197" s="75">
        <f t="shared" si="36"/>
        <v>100407</v>
      </c>
      <c r="H197" s="75">
        <f t="shared" si="36"/>
        <v>100023</v>
      </c>
      <c r="I197" s="75">
        <f t="shared" si="36"/>
        <v>104075</v>
      </c>
      <c r="J197" s="75">
        <f t="shared" si="36"/>
        <v>112137</v>
      </c>
      <c r="K197" s="75">
        <f t="shared" si="36"/>
        <v>137630.64000000001</v>
      </c>
      <c r="L197" s="75">
        <f t="shared" si="36"/>
        <v>141184</v>
      </c>
      <c r="M197" s="75">
        <f t="shared" si="36"/>
        <v>174704</v>
      </c>
      <c r="N197" s="75">
        <f t="shared" si="36"/>
        <v>148374</v>
      </c>
    </row>
    <row r="198" spans="2:14" x14ac:dyDescent="0.2">
      <c r="B198" s="67"/>
      <c r="C198" s="66"/>
      <c r="D198" s="66"/>
      <c r="E198" s="66"/>
      <c r="F198" s="213" t="s">
        <v>165</v>
      </c>
      <c r="G198" s="162">
        <v>100407</v>
      </c>
      <c r="H198" s="162">
        <v>100023</v>
      </c>
      <c r="I198" s="64">
        <v>104075</v>
      </c>
      <c r="J198" s="64">
        <v>112137</v>
      </c>
      <c r="K198" s="64">
        <f>137630.64</f>
        <v>137630.64000000001</v>
      </c>
      <c r="L198" s="64">
        <v>141184</v>
      </c>
      <c r="M198" s="64">
        <v>174704</v>
      </c>
      <c r="N198" s="64">
        <v>148374</v>
      </c>
    </row>
    <row r="199" spans="2:14" x14ac:dyDescent="0.2">
      <c r="B199" s="67"/>
      <c r="C199" s="66"/>
      <c r="D199" s="212" t="s">
        <v>185</v>
      </c>
      <c r="E199" s="66"/>
      <c r="F199" s="213"/>
      <c r="G199" s="71">
        <f t="shared" ref="G199:N199" si="37">G200+G204</f>
        <v>0</v>
      </c>
      <c r="H199" s="71">
        <f t="shared" si="37"/>
        <v>0</v>
      </c>
      <c r="I199" s="71">
        <f t="shared" si="37"/>
        <v>0</v>
      </c>
      <c r="J199" s="71">
        <f t="shared" si="37"/>
        <v>0</v>
      </c>
      <c r="K199" s="71">
        <f t="shared" si="37"/>
        <v>453638.92000000004</v>
      </c>
      <c r="L199" s="71">
        <f t="shared" si="37"/>
        <v>265676</v>
      </c>
      <c r="M199" s="71">
        <f t="shared" si="37"/>
        <v>295456</v>
      </c>
      <c r="N199" s="71">
        <f t="shared" si="37"/>
        <v>395540</v>
      </c>
    </row>
    <row r="200" spans="2:14" x14ac:dyDescent="0.2">
      <c r="B200" s="67"/>
      <c r="C200" s="66"/>
      <c r="D200" s="66"/>
      <c r="E200" s="232" t="s">
        <v>164</v>
      </c>
      <c r="F200" s="232"/>
      <c r="G200" s="68">
        <f t="shared" ref="G200:L200" si="38">G201+G202+G203</f>
        <v>0</v>
      </c>
      <c r="H200" s="68">
        <f t="shared" si="38"/>
        <v>0</v>
      </c>
      <c r="I200" s="68">
        <f t="shared" si="38"/>
        <v>0</v>
      </c>
      <c r="J200" s="68">
        <f t="shared" si="38"/>
        <v>0</v>
      </c>
      <c r="K200" s="68">
        <f t="shared" si="38"/>
        <v>20175</v>
      </c>
      <c r="L200" s="68">
        <f t="shared" si="38"/>
        <v>32000</v>
      </c>
      <c r="M200" s="68">
        <f>M201+M202+M203</f>
        <v>0</v>
      </c>
      <c r="N200" s="68">
        <f>N201+N202+N203</f>
        <v>24000</v>
      </c>
    </row>
    <row r="201" spans="2:14" x14ac:dyDescent="0.2">
      <c r="B201" s="67"/>
      <c r="C201" s="66"/>
      <c r="D201" s="66"/>
      <c r="E201" s="66"/>
      <c r="F201" s="213" t="s">
        <v>165</v>
      </c>
      <c r="G201" s="162">
        <v>0</v>
      </c>
      <c r="H201" s="162">
        <v>0</v>
      </c>
      <c r="I201" s="64">
        <v>0</v>
      </c>
      <c r="J201" s="64">
        <v>0</v>
      </c>
      <c r="K201" s="64">
        <v>0</v>
      </c>
      <c r="L201" s="64">
        <v>0</v>
      </c>
      <c r="M201" s="69">
        <v>0</v>
      </c>
      <c r="N201" s="69">
        <v>0</v>
      </c>
    </row>
    <row r="202" spans="2:14" x14ac:dyDescent="0.2">
      <c r="B202" s="67"/>
      <c r="C202" s="66"/>
      <c r="D202" s="66"/>
      <c r="E202" s="66"/>
      <c r="F202" s="213" t="s">
        <v>166</v>
      </c>
      <c r="G202" s="162">
        <v>0</v>
      </c>
      <c r="H202" s="162">
        <v>0</v>
      </c>
      <c r="I202" s="64">
        <v>0</v>
      </c>
      <c r="J202" s="64">
        <v>0</v>
      </c>
      <c r="K202" s="64">
        <f>20175</f>
        <v>20175</v>
      </c>
      <c r="L202" s="64">
        <v>32000</v>
      </c>
      <c r="M202" s="69">
        <v>32000</v>
      </c>
      <c r="N202" s="69">
        <v>32000</v>
      </c>
    </row>
    <row r="203" spans="2:14" x14ac:dyDescent="0.2">
      <c r="B203" s="67"/>
      <c r="C203" s="66"/>
      <c r="D203" s="66"/>
      <c r="E203" s="66"/>
      <c r="F203" s="213" t="s">
        <v>179</v>
      </c>
      <c r="G203" s="162">
        <v>0</v>
      </c>
      <c r="H203" s="162">
        <v>0</v>
      </c>
      <c r="I203" s="64">
        <v>0</v>
      </c>
      <c r="J203" s="64">
        <v>0</v>
      </c>
      <c r="K203" s="64">
        <v>0</v>
      </c>
      <c r="L203" s="64">
        <v>0</v>
      </c>
      <c r="M203" s="69">
        <v>-32000</v>
      </c>
      <c r="N203" s="69">
        <v>-8000</v>
      </c>
    </row>
    <row r="204" spans="2:14" x14ac:dyDescent="0.2">
      <c r="B204" s="67"/>
      <c r="C204" s="66"/>
      <c r="D204" s="66"/>
      <c r="E204" s="235" t="s">
        <v>175</v>
      </c>
      <c r="F204" s="235"/>
      <c r="G204" s="68">
        <f t="shared" ref="G204:N204" si="39">SUM(G205:G210)</f>
        <v>0</v>
      </c>
      <c r="H204" s="68">
        <f t="shared" si="39"/>
        <v>0</v>
      </c>
      <c r="I204" s="68">
        <f t="shared" si="39"/>
        <v>0</v>
      </c>
      <c r="J204" s="68">
        <f t="shared" si="39"/>
        <v>0</v>
      </c>
      <c r="K204" s="68">
        <f t="shared" si="39"/>
        <v>433463.92000000004</v>
      </c>
      <c r="L204" s="68">
        <f t="shared" si="39"/>
        <v>233676</v>
      </c>
      <c r="M204" s="68">
        <f t="shared" si="39"/>
        <v>295456</v>
      </c>
      <c r="N204" s="68">
        <f t="shared" si="39"/>
        <v>371540</v>
      </c>
    </row>
    <row r="205" spans="2:14" x14ac:dyDescent="0.2">
      <c r="B205" s="67"/>
      <c r="C205" s="66"/>
      <c r="D205" s="66"/>
      <c r="E205" s="66"/>
      <c r="F205" s="213" t="s">
        <v>170</v>
      </c>
      <c r="G205" s="162">
        <v>0</v>
      </c>
      <c r="H205" s="162">
        <v>0</v>
      </c>
      <c r="I205" s="64">
        <v>0</v>
      </c>
      <c r="J205" s="64">
        <v>0</v>
      </c>
      <c r="K205" s="64">
        <f>603.6</f>
        <v>603.6</v>
      </c>
      <c r="L205" s="64">
        <v>490</v>
      </c>
      <c r="M205" s="64">
        <v>300</v>
      </c>
      <c r="N205" s="64">
        <v>0</v>
      </c>
    </row>
    <row r="206" spans="2:14" x14ac:dyDescent="0.2">
      <c r="B206" s="67"/>
      <c r="C206" s="66"/>
      <c r="D206" s="66"/>
      <c r="E206" s="66"/>
      <c r="F206" s="213" t="s">
        <v>171</v>
      </c>
      <c r="G206" s="162">
        <v>0</v>
      </c>
      <c r="H206" s="162">
        <v>0</v>
      </c>
      <c r="I206" s="64">
        <v>0</v>
      </c>
      <c r="J206" s="64">
        <v>0</v>
      </c>
      <c r="K206" s="64">
        <v>0</v>
      </c>
      <c r="L206" s="64">
        <v>17980</v>
      </c>
      <c r="M206" s="64">
        <v>2900</v>
      </c>
      <c r="N206" s="64">
        <v>0</v>
      </c>
    </row>
    <row r="207" spans="2:14" x14ac:dyDescent="0.2">
      <c r="B207" s="67"/>
      <c r="C207" s="66"/>
      <c r="D207" s="66"/>
      <c r="E207" s="66"/>
      <c r="F207" s="213" t="s">
        <v>172</v>
      </c>
      <c r="G207" s="162">
        <v>0</v>
      </c>
      <c r="H207" s="162">
        <v>0</v>
      </c>
      <c r="I207" s="64">
        <v>0</v>
      </c>
      <c r="J207" s="64">
        <v>0</v>
      </c>
      <c r="K207" s="64">
        <f>198854.41</f>
        <v>198854.41</v>
      </c>
      <c r="L207" s="64">
        <v>200000</v>
      </c>
      <c r="M207" s="64">
        <v>200000</v>
      </c>
      <c r="N207" s="64">
        <v>200000</v>
      </c>
    </row>
    <row r="208" spans="2:14" x14ac:dyDescent="0.2">
      <c r="B208" s="67"/>
      <c r="C208" s="66"/>
      <c r="D208" s="66"/>
      <c r="E208" s="66"/>
      <c r="F208" s="213" t="s">
        <v>173</v>
      </c>
      <c r="G208" s="162">
        <v>0</v>
      </c>
      <c r="H208" s="162">
        <v>0</v>
      </c>
      <c r="I208" s="64">
        <v>0</v>
      </c>
      <c r="J208" s="64">
        <v>0</v>
      </c>
      <c r="K208" s="64">
        <f>3020.51+3500</f>
        <v>6520.51</v>
      </c>
      <c r="L208" s="64">
        <v>19528</v>
      </c>
      <c r="M208" s="64">
        <v>560</v>
      </c>
      <c r="N208" s="64">
        <v>0</v>
      </c>
    </row>
    <row r="209" spans="2:14" x14ac:dyDescent="0.2">
      <c r="B209" s="67"/>
      <c r="C209" s="66"/>
      <c r="D209" s="66"/>
      <c r="E209" s="66"/>
      <c r="F209" s="213" t="s">
        <v>181</v>
      </c>
      <c r="G209" s="162">
        <v>0</v>
      </c>
      <c r="H209" s="162">
        <v>0</v>
      </c>
      <c r="I209" s="64">
        <v>0</v>
      </c>
      <c r="J209" s="64">
        <v>0</v>
      </c>
      <c r="K209" s="64">
        <f>227485.4</f>
        <v>227485.4</v>
      </c>
      <c r="L209" s="64">
        <v>188583</v>
      </c>
      <c r="M209" s="64">
        <v>264157</v>
      </c>
      <c r="N209" s="64">
        <v>270792</v>
      </c>
    </row>
    <row r="210" spans="2:14" x14ac:dyDescent="0.2">
      <c r="B210" s="67"/>
      <c r="C210" s="66"/>
      <c r="D210" s="66"/>
      <c r="E210" s="66"/>
      <c r="F210" s="213" t="s">
        <v>183</v>
      </c>
      <c r="G210" s="162">
        <v>0</v>
      </c>
      <c r="H210" s="162">
        <v>0</v>
      </c>
      <c r="I210" s="64">
        <v>0</v>
      </c>
      <c r="J210" s="64">
        <v>0</v>
      </c>
      <c r="K210" s="64">
        <v>0</v>
      </c>
      <c r="L210" s="64">
        <v>-192905</v>
      </c>
      <c r="M210" s="64">
        <v>-172461</v>
      </c>
      <c r="N210" s="64">
        <v>-99252</v>
      </c>
    </row>
    <row r="211" spans="2:14" x14ac:dyDescent="0.2">
      <c r="B211" s="67"/>
      <c r="C211" s="66"/>
      <c r="D211" s="212" t="s">
        <v>186</v>
      </c>
      <c r="E211" s="66"/>
      <c r="F211" s="213"/>
      <c r="G211" s="71">
        <f t="shared" ref="G211:N211" si="40">G212+G215+G217</f>
        <v>108887</v>
      </c>
      <c r="H211" s="71">
        <f t="shared" si="40"/>
        <v>107055</v>
      </c>
      <c r="I211" s="71">
        <f t="shared" si="40"/>
        <v>156563</v>
      </c>
      <c r="J211" s="71">
        <f t="shared" si="40"/>
        <v>192765</v>
      </c>
      <c r="K211" s="71">
        <f t="shared" si="40"/>
        <v>295683.64</v>
      </c>
      <c r="L211" s="71">
        <f t="shared" si="40"/>
        <v>379991</v>
      </c>
      <c r="M211" s="71">
        <f t="shared" si="40"/>
        <v>323195</v>
      </c>
      <c r="N211" s="71">
        <f t="shared" si="40"/>
        <v>394200</v>
      </c>
    </row>
    <row r="212" spans="2:14" x14ac:dyDescent="0.2">
      <c r="B212" s="67"/>
      <c r="C212" s="66"/>
      <c r="D212" s="66"/>
      <c r="E212" s="232" t="s">
        <v>164</v>
      </c>
      <c r="F212" s="232"/>
      <c r="G212" s="73">
        <f t="shared" ref="G212:M212" si="41">G213</f>
        <v>73145</v>
      </c>
      <c r="H212" s="73">
        <f t="shared" si="41"/>
        <v>101755</v>
      </c>
      <c r="I212" s="73">
        <f t="shared" si="41"/>
        <v>140119</v>
      </c>
      <c r="J212" s="73">
        <f t="shared" si="41"/>
        <v>172220</v>
      </c>
      <c r="K212" s="73">
        <f t="shared" si="41"/>
        <v>283656.69</v>
      </c>
      <c r="L212" s="73">
        <f t="shared" si="41"/>
        <v>301991</v>
      </c>
      <c r="M212" s="73">
        <f t="shared" si="41"/>
        <v>282325</v>
      </c>
      <c r="N212" s="73">
        <f>N213+N214</f>
        <v>339700</v>
      </c>
    </row>
    <row r="213" spans="2:14" x14ac:dyDescent="0.2">
      <c r="B213" s="67"/>
      <c r="C213" s="66"/>
      <c r="D213" s="66"/>
      <c r="E213" s="66"/>
      <c r="F213" s="213" t="s">
        <v>165</v>
      </c>
      <c r="G213" s="162">
        <v>73145</v>
      </c>
      <c r="H213" s="162">
        <v>101755</v>
      </c>
      <c r="I213" s="64">
        <v>140119</v>
      </c>
      <c r="J213" s="64">
        <v>172220</v>
      </c>
      <c r="K213" s="64">
        <v>283656.69</v>
      </c>
      <c r="L213" s="64">
        <v>301991</v>
      </c>
      <c r="M213" s="64">
        <v>282325</v>
      </c>
      <c r="N213" s="64">
        <v>309700</v>
      </c>
    </row>
    <row r="214" spans="2:14" x14ac:dyDescent="0.2">
      <c r="B214" s="67"/>
      <c r="C214" s="66"/>
      <c r="D214" s="66"/>
      <c r="E214" s="66"/>
      <c r="F214" s="213" t="s">
        <v>166</v>
      </c>
      <c r="G214" s="162">
        <v>0</v>
      </c>
      <c r="H214" s="162">
        <v>0</v>
      </c>
      <c r="I214" s="162">
        <v>0</v>
      </c>
      <c r="J214" s="162">
        <v>0</v>
      </c>
      <c r="K214" s="162">
        <v>0</v>
      </c>
      <c r="L214" s="162">
        <v>0</v>
      </c>
      <c r="M214" s="162">
        <v>0</v>
      </c>
      <c r="N214" s="64">
        <v>30000</v>
      </c>
    </row>
    <row r="215" spans="2:14" x14ac:dyDescent="0.2">
      <c r="B215" s="67"/>
      <c r="C215" s="66"/>
      <c r="D215" s="66"/>
      <c r="E215" s="235" t="s">
        <v>167</v>
      </c>
      <c r="F215" s="235"/>
      <c r="G215" s="78">
        <f t="shared" ref="G215:N215" si="42">G216</f>
        <v>0</v>
      </c>
      <c r="H215" s="78">
        <f t="shared" si="42"/>
        <v>0</v>
      </c>
      <c r="I215" s="78">
        <f t="shared" si="42"/>
        <v>0</v>
      </c>
      <c r="J215" s="78">
        <f t="shared" si="42"/>
        <v>3938</v>
      </c>
      <c r="K215" s="78">
        <f t="shared" si="42"/>
        <v>0</v>
      </c>
      <c r="L215" s="78">
        <f t="shared" si="42"/>
        <v>10000</v>
      </c>
      <c r="M215" s="78">
        <f t="shared" si="42"/>
        <v>8000</v>
      </c>
      <c r="N215" s="78">
        <f t="shared" si="42"/>
        <v>0</v>
      </c>
    </row>
    <row r="216" spans="2:14" x14ac:dyDescent="0.2">
      <c r="B216" s="67"/>
      <c r="C216" s="66"/>
      <c r="D216" s="66"/>
      <c r="E216" s="66"/>
      <c r="F216" s="213" t="s">
        <v>168</v>
      </c>
      <c r="G216" s="162">
        <v>0</v>
      </c>
      <c r="H216" s="162">
        <v>0</v>
      </c>
      <c r="I216" s="76">
        <v>0</v>
      </c>
      <c r="J216" s="76">
        <v>3938</v>
      </c>
      <c r="K216" s="76">
        <v>0</v>
      </c>
      <c r="L216" s="76">
        <v>10000</v>
      </c>
      <c r="M216" s="76">
        <v>8000</v>
      </c>
      <c r="N216" s="76">
        <v>0</v>
      </c>
    </row>
    <row r="217" spans="2:14" x14ac:dyDescent="0.2">
      <c r="B217" s="67"/>
      <c r="C217" s="66"/>
      <c r="D217" s="66"/>
      <c r="E217" s="235" t="s">
        <v>175</v>
      </c>
      <c r="F217" s="235"/>
      <c r="G217" s="77">
        <f t="shared" ref="G217:N217" si="43">SUM(G218:G222)</f>
        <v>35742</v>
      </c>
      <c r="H217" s="77">
        <f t="shared" si="43"/>
        <v>5300</v>
      </c>
      <c r="I217" s="77">
        <f t="shared" si="43"/>
        <v>16444</v>
      </c>
      <c r="J217" s="77">
        <f t="shared" si="43"/>
        <v>16607</v>
      </c>
      <c r="K217" s="77">
        <f t="shared" si="43"/>
        <v>12026.949999999999</v>
      </c>
      <c r="L217" s="77">
        <f t="shared" si="43"/>
        <v>68000</v>
      </c>
      <c r="M217" s="77">
        <f t="shared" si="43"/>
        <v>32870</v>
      </c>
      <c r="N217" s="77">
        <f t="shared" si="43"/>
        <v>54500</v>
      </c>
    </row>
    <row r="218" spans="2:14" x14ac:dyDescent="0.2">
      <c r="B218" s="67"/>
      <c r="C218" s="66"/>
      <c r="D218" s="66"/>
      <c r="E218" s="66"/>
      <c r="F218" s="213" t="s">
        <v>170</v>
      </c>
      <c r="G218" s="162">
        <v>1703</v>
      </c>
      <c r="H218" s="162">
        <v>765</v>
      </c>
      <c r="I218" s="70">
        <v>11040</v>
      </c>
      <c r="J218" s="70">
        <v>3712</v>
      </c>
      <c r="K218" s="70">
        <f>2362.99+996.04</f>
        <v>3359.0299999999997</v>
      </c>
      <c r="L218" s="70">
        <v>4000</v>
      </c>
      <c r="M218" s="70">
        <v>4000</v>
      </c>
      <c r="N218" s="70">
        <v>4000</v>
      </c>
    </row>
    <row r="219" spans="2:14" x14ac:dyDescent="0.2">
      <c r="B219" s="67"/>
      <c r="C219" s="66"/>
      <c r="D219" s="66"/>
      <c r="E219" s="66"/>
      <c r="F219" s="213" t="s">
        <v>171</v>
      </c>
      <c r="G219" s="162">
        <v>5825</v>
      </c>
      <c r="H219" s="162">
        <v>4456</v>
      </c>
      <c r="I219" s="64">
        <v>4720</v>
      </c>
      <c r="J219" s="64">
        <v>9921</v>
      </c>
      <c r="K219" s="64">
        <f>1143.11+4094.58+607.38</f>
        <v>5845.07</v>
      </c>
      <c r="L219" s="64">
        <v>24000</v>
      </c>
      <c r="M219" s="64">
        <v>19800</v>
      </c>
      <c r="N219" s="64">
        <v>30500</v>
      </c>
    </row>
    <row r="220" spans="2:14" x14ac:dyDescent="0.2">
      <c r="B220" s="67"/>
      <c r="C220" s="66"/>
      <c r="D220" s="66"/>
      <c r="E220" s="66"/>
      <c r="F220" s="213" t="s">
        <v>172</v>
      </c>
      <c r="G220" s="162">
        <v>28214</v>
      </c>
      <c r="H220" s="162">
        <v>0</v>
      </c>
      <c r="I220" s="64">
        <v>0</v>
      </c>
      <c r="J220" s="64">
        <v>420</v>
      </c>
      <c r="K220" s="64">
        <f>676</f>
        <v>676</v>
      </c>
      <c r="L220" s="64">
        <v>13000</v>
      </c>
      <c r="M220" s="64">
        <v>2500</v>
      </c>
      <c r="N220" s="64">
        <v>13000</v>
      </c>
    </row>
    <row r="221" spans="2:14" x14ac:dyDescent="0.2">
      <c r="B221" s="67"/>
      <c r="C221" s="66"/>
      <c r="D221" s="66"/>
      <c r="E221" s="66"/>
      <c r="F221" s="213" t="s">
        <v>173</v>
      </c>
      <c r="G221" s="162">
        <v>0</v>
      </c>
      <c r="H221" s="162">
        <v>79</v>
      </c>
      <c r="I221" s="64">
        <v>684</v>
      </c>
      <c r="J221" s="64">
        <v>2554</v>
      </c>
      <c r="K221" s="64">
        <f>1243.85+349+554</f>
        <v>2146.85</v>
      </c>
      <c r="L221" s="64">
        <v>7000</v>
      </c>
      <c r="M221" s="64">
        <v>6570</v>
      </c>
      <c r="N221" s="64">
        <v>7000</v>
      </c>
    </row>
    <row r="222" spans="2:14" x14ac:dyDescent="0.2">
      <c r="B222" s="67"/>
      <c r="C222" s="66"/>
      <c r="D222" s="66"/>
      <c r="E222" s="66"/>
      <c r="F222" s="213" t="s">
        <v>181</v>
      </c>
      <c r="G222" s="162">
        <v>0</v>
      </c>
      <c r="H222" s="162">
        <v>0</v>
      </c>
      <c r="I222" s="64">
        <v>0</v>
      </c>
      <c r="J222" s="64">
        <v>0</v>
      </c>
      <c r="K222" s="64">
        <v>0</v>
      </c>
      <c r="L222" s="64">
        <v>20000</v>
      </c>
      <c r="M222" s="64">
        <v>0</v>
      </c>
      <c r="N222" s="64">
        <v>0</v>
      </c>
    </row>
    <row r="223" spans="2:14" x14ac:dyDescent="0.2">
      <c r="B223" s="67"/>
      <c r="C223" s="66"/>
      <c r="D223" s="236" t="s">
        <v>187</v>
      </c>
      <c r="E223" s="236"/>
      <c r="F223" s="236"/>
      <c r="G223" s="71">
        <f t="shared" ref="G223:N223" si="44">G224+G227</f>
        <v>509321</v>
      </c>
      <c r="H223" s="71">
        <f t="shared" si="44"/>
        <v>477052</v>
      </c>
      <c r="I223" s="71">
        <f t="shared" si="44"/>
        <v>579082</v>
      </c>
      <c r="J223" s="71">
        <f t="shared" si="44"/>
        <v>620254</v>
      </c>
      <c r="K223" s="71">
        <f t="shared" si="44"/>
        <v>984354.01500000013</v>
      </c>
      <c r="L223" s="71">
        <f t="shared" si="44"/>
        <v>3567740</v>
      </c>
      <c r="M223" s="71">
        <f t="shared" si="44"/>
        <v>3860494</v>
      </c>
      <c r="N223" s="71">
        <f t="shared" si="44"/>
        <v>4281745</v>
      </c>
    </row>
    <row r="224" spans="2:14" x14ac:dyDescent="0.2">
      <c r="B224" s="67"/>
      <c r="C224" s="66"/>
      <c r="D224" s="66"/>
      <c r="E224" s="232" t="s">
        <v>164</v>
      </c>
      <c r="F224" s="232"/>
      <c r="G224" s="73">
        <f t="shared" ref="G224:N224" si="45">G225+G226</f>
        <v>106154</v>
      </c>
      <c r="H224" s="73">
        <f t="shared" si="45"/>
        <v>217464</v>
      </c>
      <c r="I224" s="73">
        <f t="shared" si="45"/>
        <v>362558</v>
      </c>
      <c r="J224" s="73">
        <f t="shared" si="45"/>
        <v>360472</v>
      </c>
      <c r="K224" s="73">
        <f t="shared" si="45"/>
        <v>551358.06000000006</v>
      </c>
      <c r="L224" s="73">
        <f t="shared" si="45"/>
        <v>1246502</v>
      </c>
      <c r="M224" s="73">
        <f t="shared" si="45"/>
        <v>1168523</v>
      </c>
      <c r="N224" s="73">
        <f t="shared" si="45"/>
        <v>1264149</v>
      </c>
    </row>
    <row r="225" spans="2:14" x14ac:dyDescent="0.2">
      <c r="B225" s="67"/>
      <c r="C225" s="66"/>
      <c r="D225" s="66"/>
      <c r="E225" s="66"/>
      <c r="F225" s="213" t="s">
        <v>165</v>
      </c>
      <c r="G225" s="162">
        <v>103808</v>
      </c>
      <c r="H225" s="162">
        <v>217464</v>
      </c>
      <c r="I225" s="64">
        <v>358928</v>
      </c>
      <c r="J225" s="64">
        <v>360472</v>
      </c>
      <c r="K225" s="64">
        <f>551358.06</f>
        <v>551358.06000000006</v>
      </c>
      <c r="L225" s="64">
        <f>1246502</f>
        <v>1246502</v>
      </c>
      <c r="M225" s="64">
        <v>1168523</v>
      </c>
      <c r="N225" s="64">
        <v>1264149</v>
      </c>
    </row>
    <row r="226" spans="2:14" x14ac:dyDescent="0.2">
      <c r="B226" s="67"/>
      <c r="C226" s="66"/>
      <c r="D226" s="66"/>
      <c r="E226" s="66"/>
      <c r="F226" s="213" t="s">
        <v>166</v>
      </c>
      <c r="G226" s="162">
        <v>2346</v>
      </c>
      <c r="H226" s="162">
        <v>0</v>
      </c>
      <c r="I226" s="64">
        <v>3630</v>
      </c>
      <c r="J226" s="64">
        <v>0</v>
      </c>
      <c r="K226" s="64">
        <v>0</v>
      </c>
      <c r="L226" s="64">
        <v>0</v>
      </c>
      <c r="M226" s="64">
        <v>0</v>
      </c>
      <c r="N226" s="64">
        <v>0</v>
      </c>
    </row>
    <row r="227" spans="2:14" x14ac:dyDescent="0.2">
      <c r="B227" s="67"/>
      <c r="C227" s="66"/>
      <c r="D227" s="66"/>
      <c r="E227" s="235" t="s">
        <v>175</v>
      </c>
      <c r="F227" s="235"/>
      <c r="G227" s="74">
        <f t="shared" ref="G227:N227" si="46">SUM(G228:G234)</f>
        <v>403167</v>
      </c>
      <c r="H227" s="74">
        <f t="shared" si="46"/>
        <v>259588</v>
      </c>
      <c r="I227" s="74">
        <f t="shared" si="46"/>
        <v>216524</v>
      </c>
      <c r="J227" s="74">
        <f t="shared" si="46"/>
        <v>259782</v>
      </c>
      <c r="K227" s="74">
        <f t="shared" si="46"/>
        <v>432995.95500000002</v>
      </c>
      <c r="L227" s="74">
        <f t="shared" si="46"/>
        <v>2321238</v>
      </c>
      <c r="M227" s="74">
        <f t="shared" si="46"/>
        <v>2691971</v>
      </c>
      <c r="N227" s="74">
        <f t="shared" si="46"/>
        <v>3017596</v>
      </c>
    </row>
    <row r="228" spans="2:14" x14ac:dyDescent="0.2">
      <c r="B228" s="67"/>
      <c r="C228" s="66"/>
      <c r="D228" s="66"/>
      <c r="E228" s="66"/>
      <c r="F228" s="213" t="s">
        <v>170</v>
      </c>
      <c r="G228" s="162">
        <v>1995</v>
      </c>
      <c r="H228" s="162">
        <v>32</v>
      </c>
      <c r="I228" s="64">
        <v>325</v>
      </c>
      <c r="J228" s="64">
        <v>3008</v>
      </c>
      <c r="K228" s="64">
        <f>3342.42</f>
        <v>3342.42</v>
      </c>
      <c r="L228" s="64">
        <v>2500</v>
      </c>
      <c r="M228" s="64">
        <v>2571</v>
      </c>
      <c r="N228" s="64">
        <v>2500</v>
      </c>
    </row>
    <row r="229" spans="2:14" x14ac:dyDescent="0.2">
      <c r="B229" s="67"/>
      <c r="C229" s="66"/>
      <c r="D229" s="66"/>
      <c r="E229" s="66"/>
      <c r="F229" s="213" t="s">
        <v>171</v>
      </c>
      <c r="G229" s="162">
        <v>54014</v>
      </c>
      <c r="H229" s="162">
        <v>14491</v>
      </c>
      <c r="I229" s="64">
        <v>26257</v>
      </c>
      <c r="J229" s="64">
        <v>1241</v>
      </c>
      <c r="K229" s="64">
        <f>180247.34</f>
        <v>180247.34</v>
      </c>
      <c r="L229" s="64">
        <v>2090648</v>
      </c>
      <c r="M229" s="64">
        <v>2412087</v>
      </c>
      <c r="N229" s="64">
        <v>2720000</v>
      </c>
    </row>
    <row r="230" spans="2:14" x14ac:dyDescent="0.2">
      <c r="B230" s="67"/>
      <c r="C230" s="66"/>
      <c r="D230" s="66"/>
      <c r="E230" s="66"/>
      <c r="F230" s="213" t="s">
        <v>188</v>
      </c>
      <c r="G230" s="162">
        <v>3705</v>
      </c>
      <c r="H230" s="162">
        <v>3679</v>
      </c>
      <c r="I230" s="64">
        <v>1115</v>
      </c>
      <c r="J230" s="64">
        <v>0</v>
      </c>
      <c r="K230" s="64">
        <v>0</v>
      </c>
      <c r="L230" s="64">
        <v>0</v>
      </c>
      <c r="M230" s="64">
        <v>0</v>
      </c>
      <c r="N230" s="64">
        <v>0</v>
      </c>
    </row>
    <row r="231" spans="2:14" x14ac:dyDescent="0.2">
      <c r="B231" s="67"/>
      <c r="C231" s="66"/>
      <c r="D231" s="66"/>
      <c r="E231" s="66"/>
      <c r="F231" s="213" t="s">
        <v>172</v>
      </c>
      <c r="G231" s="162">
        <v>423119</v>
      </c>
      <c r="H231" s="162">
        <v>305154</v>
      </c>
      <c r="I231" s="64">
        <v>245783</v>
      </c>
      <c r="J231" s="64">
        <v>0</v>
      </c>
      <c r="K231" s="64">
        <v>0</v>
      </c>
      <c r="L231" s="64">
        <v>0</v>
      </c>
      <c r="M231" s="64">
        <v>0</v>
      </c>
      <c r="N231" s="64">
        <v>0</v>
      </c>
    </row>
    <row r="232" spans="2:14" x14ac:dyDescent="0.2">
      <c r="B232" s="67"/>
      <c r="C232" s="66"/>
      <c r="D232" s="66"/>
      <c r="E232" s="66"/>
      <c r="F232" s="213" t="s">
        <v>173</v>
      </c>
      <c r="G232" s="162">
        <v>8587</v>
      </c>
      <c r="H232" s="162">
        <v>1094</v>
      </c>
      <c r="I232" s="64">
        <v>950</v>
      </c>
      <c r="J232" s="64">
        <v>3825</v>
      </c>
      <c r="K232" s="64">
        <f>8577.62+4098.13+647.27</f>
        <v>13323.02</v>
      </c>
      <c r="L232" s="64">
        <v>30000</v>
      </c>
      <c r="M232" s="64">
        <v>12138</v>
      </c>
      <c r="N232" s="64">
        <v>21000</v>
      </c>
    </row>
    <row r="233" spans="2:14" x14ac:dyDescent="0.2">
      <c r="B233" s="67"/>
      <c r="C233" s="66"/>
      <c r="D233" s="66"/>
      <c r="E233" s="66"/>
      <c r="F233" s="213" t="s">
        <v>181</v>
      </c>
      <c r="G233" s="162">
        <v>0</v>
      </c>
      <c r="H233" s="162">
        <v>0</v>
      </c>
      <c r="I233" s="64">
        <v>0</v>
      </c>
      <c r="J233" s="64">
        <v>251708</v>
      </c>
      <c r="K233" s="64">
        <v>267504.62</v>
      </c>
      <c r="L233" s="64">
        <v>269799</v>
      </c>
      <c r="M233" s="64">
        <v>265175</v>
      </c>
      <c r="N233" s="64">
        <v>274096</v>
      </c>
    </row>
    <row r="234" spans="2:14" x14ac:dyDescent="0.2">
      <c r="B234" s="67"/>
      <c r="C234" s="66"/>
      <c r="D234" s="66"/>
      <c r="E234" s="66"/>
      <c r="F234" s="213" t="s">
        <v>183</v>
      </c>
      <c r="G234" s="162">
        <v>-88253</v>
      </c>
      <c r="H234" s="162">
        <v>-64862</v>
      </c>
      <c r="I234" s="64">
        <v>-57906</v>
      </c>
      <c r="J234" s="64">
        <v>0</v>
      </c>
      <c r="K234" s="64">
        <v>-31421.445</v>
      </c>
      <c r="L234" s="64">
        <v>-71709</v>
      </c>
      <c r="M234" s="64">
        <v>0</v>
      </c>
      <c r="N234" s="64">
        <v>0</v>
      </c>
    </row>
    <row r="235" spans="2:14" x14ac:dyDescent="0.2">
      <c r="B235" s="67"/>
      <c r="C235" s="66"/>
      <c r="D235" s="235" t="s">
        <v>189</v>
      </c>
      <c r="E235" s="237"/>
      <c r="F235" s="237"/>
      <c r="G235" s="77">
        <f t="shared" ref="G235:N235" si="47">G236+G239</f>
        <v>303546</v>
      </c>
      <c r="H235" s="77">
        <f t="shared" si="47"/>
        <v>317096</v>
      </c>
      <c r="I235" s="77">
        <f t="shared" si="47"/>
        <v>344252</v>
      </c>
      <c r="J235" s="77">
        <f t="shared" si="47"/>
        <v>358867</v>
      </c>
      <c r="K235" s="77">
        <f t="shared" si="47"/>
        <v>460887.88</v>
      </c>
      <c r="L235" s="77">
        <f t="shared" si="47"/>
        <v>462412</v>
      </c>
      <c r="M235" s="77">
        <f t="shared" si="47"/>
        <v>526336</v>
      </c>
      <c r="N235" s="77">
        <f t="shared" si="47"/>
        <v>523182</v>
      </c>
    </row>
    <row r="236" spans="2:14" x14ac:dyDescent="0.2">
      <c r="B236" s="67"/>
      <c r="C236" s="66"/>
      <c r="D236" s="66"/>
      <c r="E236" s="232" t="s">
        <v>164</v>
      </c>
      <c r="F236" s="232"/>
      <c r="G236" s="73">
        <f>SUM(G237:G238)</f>
        <v>262218</v>
      </c>
      <c r="H236" s="73">
        <f t="shared" ref="H236:N236" si="48">SUM(H237:H238)</f>
        <v>267337</v>
      </c>
      <c r="I236" s="73">
        <f t="shared" si="48"/>
        <v>291751</v>
      </c>
      <c r="J236" s="73">
        <f t="shared" si="48"/>
        <v>301251</v>
      </c>
      <c r="K236" s="73">
        <f t="shared" si="48"/>
        <v>357974.14</v>
      </c>
      <c r="L236" s="73">
        <f t="shared" si="48"/>
        <v>381804</v>
      </c>
      <c r="M236" s="73">
        <f t="shared" si="48"/>
        <v>404630</v>
      </c>
      <c r="N236" s="73">
        <f t="shared" si="48"/>
        <v>392987</v>
      </c>
    </row>
    <row r="237" spans="2:14" x14ac:dyDescent="0.2">
      <c r="B237" s="67"/>
      <c r="C237" s="66"/>
      <c r="D237" s="66"/>
      <c r="E237" s="66"/>
      <c r="F237" s="213" t="s">
        <v>165</v>
      </c>
      <c r="G237" s="162">
        <v>260724</v>
      </c>
      <c r="H237" s="162">
        <v>267337</v>
      </c>
      <c r="I237" s="64">
        <v>291751</v>
      </c>
      <c r="J237" s="64">
        <v>301251</v>
      </c>
      <c r="K237" s="64">
        <v>357974.14</v>
      </c>
      <c r="L237" s="64">
        <v>381804</v>
      </c>
      <c r="M237" s="64">
        <v>404630</v>
      </c>
      <c r="N237" s="64">
        <v>392987</v>
      </c>
    </row>
    <row r="238" spans="2:14" x14ac:dyDescent="0.2">
      <c r="B238" s="67"/>
      <c r="C238" s="66"/>
      <c r="D238" s="66"/>
      <c r="E238" s="66"/>
      <c r="F238" s="213" t="s">
        <v>190</v>
      </c>
      <c r="G238" s="162">
        <v>1494</v>
      </c>
      <c r="H238" s="162">
        <v>0</v>
      </c>
      <c r="I238" s="64">
        <v>0</v>
      </c>
      <c r="J238" s="64">
        <v>0</v>
      </c>
      <c r="K238" s="64">
        <v>0</v>
      </c>
      <c r="L238" s="64">
        <v>0</v>
      </c>
      <c r="M238" s="64">
        <v>0</v>
      </c>
      <c r="N238" s="64">
        <v>0</v>
      </c>
    </row>
    <row r="239" spans="2:14" x14ac:dyDescent="0.2">
      <c r="B239" s="67"/>
      <c r="C239" s="66"/>
      <c r="D239" s="66"/>
      <c r="E239" s="235" t="s">
        <v>175</v>
      </c>
      <c r="F239" s="235"/>
      <c r="G239" s="74">
        <f t="shared" ref="G239:N239" si="49">SUM(G240:G244)</f>
        <v>41328</v>
      </c>
      <c r="H239" s="74">
        <f t="shared" si="49"/>
        <v>49759</v>
      </c>
      <c r="I239" s="74">
        <f t="shared" si="49"/>
        <v>52501</v>
      </c>
      <c r="J239" s="74">
        <f t="shared" si="49"/>
        <v>57616</v>
      </c>
      <c r="K239" s="74">
        <f t="shared" si="49"/>
        <v>102913.74</v>
      </c>
      <c r="L239" s="74">
        <f t="shared" si="49"/>
        <v>80608</v>
      </c>
      <c r="M239" s="74">
        <f t="shared" si="49"/>
        <v>121706</v>
      </c>
      <c r="N239" s="74">
        <f t="shared" si="49"/>
        <v>130195</v>
      </c>
    </row>
    <row r="240" spans="2:14" x14ac:dyDescent="0.2">
      <c r="B240" s="67"/>
      <c r="C240" s="66"/>
      <c r="D240" s="66"/>
      <c r="E240" s="66"/>
      <c r="F240" s="213" t="s">
        <v>170</v>
      </c>
      <c r="G240" s="162">
        <v>5194</v>
      </c>
      <c r="H240" s="162">
        <v>4421</v>
      </c>
      <c r="I240" s="64">
        <v>4719</v>
      </c>
      <c r="J240" s="64">
        <v>4998</v>
      </c>
      <c r="K240" s="64">
        <f>4705.43+574.82</f>
        <v>5280.25</v>
      </c>
      <c r="L240" s="64">
        <v>9500</v>
      </c>
      <c r="M240" s="64">
        <v>7500</v>
      </c>
      <c r="N240" s="64">
        <v>9500</v>
      </c>
    </row>
    <row r="241" spans="2:14" x14ac:dyDescent="0.2">
      <c r="B241" s="67"/>
      <c r="C241" s="66"/>
      <c r="D241" s="66"/>
      <c r="E241" s="66"/>
      <c r="F241" s="213" t="s">
        <v>171</v>
      </c>
      <c r="G241" s="162">
        <v>105</v>
      </c>
      <c r="H241" s="162">
        <v>70</v>
      </c>
      <c r="I241" s="64">
        <v>95</v>
      </c>
      <c r="J241" s="64">
        <v>210</v>
      </c>
      <c r="K241" s="64">
        <v>140</v>
      </c>
      <c r="L241" s="64">
        <v>450</v>
      </c>
      <c r="M241" s="64">
        <v>300</v>
      </c>
      <c r="N241" s="64">
        <v>450</v>
      </c>
    </row>
    <row r="242" spans="2:14" x14ac:dyDescent="0.2">
      <c r="B242" s="67"/>
      <c r="C242" s="66"/>
      <c r="D242" s="66"/>
      <c r="E242" s="66"/>
      <c r="F242" s="213" t="s">
        <v>172</v>
      </c>
      <c r="G242" s="162">
        <v>35159</v>
      </c>
      <c r="H242" s="162">
        <v>44719</v>
      </c>
      <c r="I242" s="64">
        <v>47083</v>
      </c>
      <c r="J242" s="64">
        <v>0</v>
      </c>
      <c r="K242" s="64">
        <v>0</v>
      </c>
      <c r="L242" s="64">
        <v>0</v>
      </c>
      <c r="M242" s="64">
        <v>0</v>
      </c>
      <c r="N242" s="64">
        <v>0</v>
      </c>
    </row>
    <row r="243" spans="2:14" x14ac:dyDescent="0.2">
      <c r="B243" s="67"/>
      <c r="C243" s="66"/>
      <c r="D243" s="66"/>
      <c r="E243" s="66"/>
      <c r="F243" s="213" t="s">
        <v>173</v>
      </c>
      <c r="G243" s="162">
        <v>870</v>
      </c>
      <c r="H243" s="162">
        <v>549</v>
      </c>
      <c r="I243" s="64">
        <v>604</v>
      </c>
      <c r="J243" s="64">
        <v>1000</v>
      </c>
      <c r="K243" s="64">
        <f>72.75+801.7+581.51</f>
        <v>1455.96</v>
      </c>
      <c r="L243" s="64">
        <v>5400</v>
      </c>
      <c r="M243" s="64">
        <v>1250</v>
      </c>
      <c r="N243" s="64">
        <v>5400</v>
      </c>
    </row>
    <row r="244" spans="2:14" x14ac:dyDescent="0.2">
      <c r="B244" s="67"/>
      <c r="C244" s="66"/>
      <c r="D244" s="66"/>
      <c r="E244" s="66"/>
      <c r="F244" s="213" t="s">
        <v>181</v>
      </c>
      <c r="G244" s="162">
        <v>0</v>
      </c>
      <c r="H244" s="162">
        <v>0</v>
      </c>
      <c r="I244" s="64">
        <v>0</v>
      </c>
      <c r="J244" s="64">
        <v>51408</v>
      </c>
      <c r="K244" s="64">
        <f>96037.53</f>
        <v>96037.53</v>
      </c>
      <c r="L244" s="64">
        <v>65258</v>
      </c>
      <c r="M244" s="64">
        <v>112656</v>
      </c>
      <c r="N244" s="64">
        <v>114845</v>
      </c>
    </row>
    <row r="245" spans="2:14" x14ac:dyDescent="0.2">
      <c r="B245" s="67"/>
      <c r="C245" s="66"/>
      <c r="D245" s="235" t="s">
        <v>191</v>
      </c>
      <c r="E245" s="237"/>
      <c r="F245" s="237"/>
      <c r="G245" s="75">
        <f t="shared" ref="G245:N245" si="50">G246+G249</f>
        <v>324363</v>
      </c>
      <c r="H245" s="75">
        <f t="shared" si="50"/>
        <v>53807</v>
      </c>
      <c r="I245" s="75">
        <f t="shared" si="50"/>
        <v>45960</v>
      </c>
      <c r="J245" s="75">
        <f t="shared" si="50"/>
        <v>108993</v>
      </c>
      <c r="K245" s="75">
        <f t="shared" si="50"/>
        <v>140668.88</v>
      </c>
      <c r="L245" s="75">
        <f t="shared" si="50"/>
        <v>120375</v>
      </c>
      <c r="M245" s="75">
        <f t="shared" si="50"/>
        <v>125778</v>
      </c>
      <c r="N245" s="75">
        <f t="shared" si="50"/>
        <v>130278</v>
      </c>
    </row>
    <row r="246" spans="2:14" x14ac:dyDescent="0.2">
      <c r="B246" s="67"/>
      <c r="C246" s="66"/>
      <c r="D246" s="66"/>
      <c r="E246" s="233" t="s">
        <v>164</v>
      </c>
      <c r="F246" s="233"/>
      <c r="G246" s="75">
        <f t="shared" ref="G246:N246" si="51">G247+G248</f>
        <v>324206</v>
      </c>
      <c r="H246" s="75">
        <f t="shared" si="51"/>
        <v>53807</v>
      </c>
      <c r="I246" s="75">
        <f t="shared" si="51"/>
        <v>45960</v>
      </c>
      <c r="J246" s="75">
        <f t="shared" si="51"/>
        <v>103017</v>
      </c>
      <c r="K246" s="75">
        <f t="shared" si="51"/>
        <v>140238.22</v>
      </c>
      <c r="L246" s="75">
        <f t="shared" si="51"/>
        <v>117375</v>
      </c>
      <c r="M246" s="75">
        <f t="shared" si="51"/>
        <v>124788</v>
      </c>
      <c r="N246" s="75">
        <f t="shared" si="51"/>
        <v>128078</v>
      </c>
    </row>
    <row r="247" spans="2:14" x14ac:dyDescent="0.2">
      <c r="B247" s="67"/>
      <c r="C247" s="66"/>
      <c r="D247" s="66"/>
      <c r="E247" s="66"/>
      <c r="F247" s="213" t="s">
        <v>165</v>
      </c>
      <c r="G247" s="162">
        <v>324206</v>
      </c>
      <c r="H247" s="162">
        <v>53807</v>
      </c>
      <c r="I247" s="70">
        <v>45960</v>
      </c>
      <c r="J247" s="70">
        <v>103017</v>
      </c>
      <c r="K247" s="70">
        <v>140238.22</v>
      </c>
      <c r="L247" s="64">
        <v>178146</v>
      </c>
      <c r="M247" s="64">
        <v>163873</v>
      </c>
      <c r="N247" s="64">
        <v>128078</v>
      </c>
    </row>
    <row r="248" spans="2:14" x14ac:dyDescent="0.2">
      <c r="B248" s="67"/>
      <c r="C248" s="66"/>
      <c r="D248" s="66"/>
      <c r="E248" s="66"/>
      <c r="F248" s="213" t="s">
        <v>180</v>
      </c>
      <c r="G248" s="162">
        <v>0</v>
      </c>
      <c r="H248" s="162">
        <v>0</v>
      </c>
      <c r="I248" s="70">
        <v>0</v>
      </c>
      <c r="J248" s="70">
        <v>0</v>
      </c>
      <c r="K248" s="70">
        <v>0</v>
      </c>
      <c r="L248" s="64">
        <v>-60771</v>
      </c>
      <c r="M248" s="64">
        <v>-39085</v>
      </c>
      <c r="N248" s="64">
        <v>0</v>
      </c>
    </row>
    <row r="249" spans="2:14" x14ac:dyDescent="0.2">
      <c r="B249" s="67"/>
      <c r="C249" s="66"/>
      <c r="D249" s="66"/>
      <c r="E249" s="235" t="s">
        <v>175</v>
      </c>
      <c r="F249" s="235"/>
      <c r="G249" s="166">
        <f>SUM(G250:G251)</f>
        <v>157</v>
      </c>
      <c r="H249" s="166">
        <f t="shared" ref="H249:N249" si="52">SUM(H250:H251)</f>
        <v>0</v>
      </c>
      <c r="I249" s="166">
        <f t="shared" si="52"/>
        <v>0</v>
      </c>
      <c r="J249" s="166">
        <f t="shared" si="52"/>
        <v>5976</v>
      </c>
      <c r="K249" s="166">
        <f t="shared" si="52"/>
        <v>430.66</v>
      </c>
      <c r="L249" s="166">
        <f t="shared" si="52"/>
        <v>3000</v>
      </c>
      <c r="M249" s="166">
        <f t="shared" si="52"/>
        <v>990</v>
      </c>
      <c r="N249" s="166">
        <f t="shared" si="52"/>
        <v>2200</v>
      </c>
    </row>
    <row r="250" spans="2:14" x14ac:dyDescent="0.2">
      <c r="B250" s="67"/>
      <c r="C250" s="66"/>
      <c r="D250" s="66"/>
      <c r="E250" s="66"/>
      <c r="F250" s="213" t="s">
        <v>170</v>
      </c>
      <c r="G250" s="162">
        <v>157</v>
      </c>
      <c r="H250" s="162">
        <v>0</v>
      </c>
      <c r="I250" s="64">
        <v>0</v>
      </c>
      <c r="J250" s="64">
        <v>5976</v>
      </c>
      <c r="K250" s="64">
        <v>289.54000000000002</v>
      </c>
      <c r="L250" s="64">
        <v>1000</v>
      </c>
      <c r="M250" s="64">
        <v>900</v>
      </c>
      <c r="N250" s="64">
        <v>1000</v>
      </c>
    </row>
    <row r="251" spans="2:14" x14ac:dyDescent="0.2">
      <c r="B251" s="67"/>
      <c r="C251" s="66"/>
      <c r="D251" s="66"/>
      <c r="E251" s="66"/>
      <c r="F251" s="213" t="s">
        <v>173</v>
      </c>
      <c r="G251" s="162">
        <v>0</v>
      </c>
      <c r="H251" s="162">
        <v>0</v>
      </c>
      <c r="I251" s="64">
        <v>0</v>
      </c>
      <c r="J251" s="64">
        <v>0</v>
      </c>
      <c r="K251" s="64">
        <v>141.12</v>
      </c>
      <c r="L251" s="64">
        <v>2000</v>
      </c>
      <c r="M251" s="64">
        <v>90</v>
      </c>
      <c r="N251" s="64">
        <v>1200</v>
      </c>
    </row>
    <row r="252" spans="2:14" x14ac:dyDescent="0.2">
      <c r="B252" s="67"/>
      <c r="C252" s="66"/>
      <c r="D252" s="232" t="s">
        <v>192</v>
      </c>
      <c r="E252" s="232"/>
      <c r="F252" s="232"/>
      <c r="G252" s="77">
        <f t="shared" ref="G252:N252" si="53">G253+G255+G257</f>
        <v>0</v>
      </c>
      <c r="H252" s="77">
        <f t="shared" si="53"/>
        <v>0</v>
      </c>
      <c r="I252" s="77">
        <f t="shared" si="53"/>
        <v>129228</v>
      </c>
      <c r="J252" s="77">
        <f t="shared" si="53"/>
        <v>99596</v>
      </c>
      <c r="K252" s="77">
        <f t="shared" si="53"/>
        <v>147705.99</v>
      </c>
      <c r="L252" s="77">
        <f t="shared" si="53"/>
        <v>141331</v>
      </c>
      <c r="M252" s="77">
        <f t="shared" si="53"/>
        <v>174780</v>
      </c>
      <c r="N252" s="77">
        <f t="shared" si="53"/>
        <v>200852</v>
      </c>
    </row>
    <row r="253" spans="2:14" x14ac:dyDescent="0.2">
      <c r="B253" s="67"/>
      <c r="C253" s="66"/>
      <c r="D253" s="66"/>
      <c r="E253" s="235" t="s">
        <v>164</v>
      </c>
      <c r="F253" s="235"/>
      <c r="G253" s="80">
        <f t="shared" ref="G253:N253" si="54">G254</f>
        <v>0</v>
      </c>
      <c r="H253" s="80">
        <f t="shared" si="54"/>
        <v>0</v>
      </c>
      <c r="I253" s="80">
        <f t="shared" si="54"/>
        <v>0</v>
      </c>
      <c r="J253" s="80">
        <f t="shared" si="54"/>
        <v>0</v>
      </c>
      <c r="K253" s="80">
        <f t="shared" si="54"/>
        <v>0</v>
      </c>
      <c r="L253" s="80">
        <f t="shared" si="54"/>
        <v>0</v>
      </c>
      <c r="M253" s="80">
        <f t="shared" si="54"/>
        <v>0</v>
      </c>
      <c r="N253" s="80">
        <f t="shared" si="54"/>
        <v>0</v>
      </c>
    </row>
    <row r="254" spans="2:14" x14ac:dyDescent="0.2">
      <c r="B254" s="67"/>
      <c r="C254" s="66"/>
      <c r="D254" s="66"/>
      <c r="E254" s="66"/>
      <c r="F254" s="214" t="s">
        <v>193</v>
      </c>
      <c r="G254" s="162">
        <v>0</v>
      </c>
      <c r="H254" s="162">
        <v>0</v>
      </c>
      <c r="I254" s="64">
        <v>0</v>
      </c>
      <c r="J254" s="64">
        <v>0</v>
      </c>
      <c r="K254" s="64">
        <v>0</v>
      </c>
      <c r="L254" s="64">
        <v>0</v>
      </c>
      <c r="M254" s="64">
        <v>0</v>
      </c>
      <c r="N254" s="64">
        <v>0</v>
      </c>
    </row>
    <row r="255" spans="2:14" x14ac:dyDescent="0.2">
      <c r="B255" s="67"/>
      <c r="C255" s="66"/>
      <c r="D255" s="66"/>
      <c r="E255" s="235" t="s">
        <v>194</v>
      </c>
      <c r="F255" s="235"/>
      <c r="G255" s="68">
        <f t="shared" ref="G255:N255" si="55">G256</f>
        <v>0</v>
      </c>
      <c r="H255" s="68">
        <f t="shared" si="55"/>
        <v>0</v>
      </c>
      <c r="I255" s="68">
        <f t="shared" si="55"/>
        <v>0</v>
      </c>
      <c r="J255" s="68">
        <f t="shared" si="55"/>
        <v>8950</v>
      </c>
      <c r="K255" s="68">
        <f t="shared" si="55"/>
        <v>1504.48</v>
      </c>
      <c r="L255" s="68">
        <f t="shared" si="55"/>
        <v>0</v>
      </c>
      <c r="M255" s="68">
        <f t="shared" si="55"/>
        <v>600</v>
      </c>
      <c r="N255" s="68">
        <f t="shared" si="55"/>
        <v>0</v>
      </c>
    </row>
    <row r="256" spans="2:14" x14ac:dyDescent="0.2">
      <c r="B256" s="67"/>
      <c r="C256" s="66"/>
      <c r="D256" s="66"/>
      <c r="E256" s="66"/>
      <c r="F256" s="213" t="s">
        <v>168</v>
      </c>
      <c r="G256" s="162">
        <v>0</v>
      </c>
      <c r="H256" s="162">
        <v>0</v>
      </c>
      <c r="I256" s="64">
        <v>0</v>
      </c>
      <c r="J256" s="64">
        <v>8950</v>
      </c>
      <c r="K256" s="64">
        <v>1504.48</v>
      </c>
      <c r="L256" s="64">
        <v>0</v>
      </c>
      <c r="M256" s="64">
        <v>600</v>
      </c>
      <c r="N256" s="64">
        <v>0</v>
      </c>
    </row>
    <row r="257" spans="2:14" x14ac:dyDescent="0.2">
      <c r="B257" s="67"/>
      <c r="C257" s="66"/>
      <c r="D257" s="66"/>
      <c r="E257" s="237" t="s">
        <v>195</v>
      </c>
      <c r="F257" s="237"/>
      <c r="G257" s="77">
        <f t="shared" ref="G257:N257" si="56">SUM(G258:G262)</f>
        <v>0</v>
      </c>
      <c r="H257" s="77">
        <f t="shared" si="56"/>
        <v>0</v>
      </c>
      <c r="I257" s="77">
        <f t="shared" si="56"/>
        <v>129228</v>
      </c>
      <c r="J257" s="77">
        <f t="shared" si="56"/>
        <v>90646</v>
      </c>
      <c r="K257" s="77">
        <f t="shared" si="56"/>
        <v>146201.50999999998</v>
      </c>
      <c r="L257" s="77">
        <f t="shared" si="56"/>
        <v>141331</v>
      </c>
      <c r="M257" s="77">
        <f t="shared" si="56"/>
        <v>174180</v>
      </c>
      <c r="N257" s="77">
        <f t="shared" si="56"/>
        <v>200852</v>
      </c>
    </row>
    <row r="258" spans="2:14" x14ac:dyDescent="0.2">
      <c r="B258" s="67"/>
      <c r="C258" s="66"/>
      <c r="D258" s="66"/>
      <c r="E258" s="66"/>
      <c r="F258" s="214" t="s">
        <v>170</v>
      </c>
      <c r="G258" s="162">
        <v>0</v>
      </c>
      <c r="H258" s="162">
        <v>0</v>
      </c>
      <c r="I258" s="70">
        <v>0</v>
      </c>
      <c r="J258" s="70">
        <v>1926</v>
      </c>
      <c r="K258" s="70">
        <v>181.27</v>
      </c>
      <c r="L258" s="70">
        <v>1000</v>
      </c>
      <c r="M258" s="70">
        <v>800</v>
      </c>
      <c r="N258" s="70">
        <v>1000</v>
      </c>
    </row>
    <row r="259" spans="2:14" x14ac:dyDescent="0.2">
      <c r="B259" s="67"/>
      <c r="C259" s="66"/>
      <c r="D259" s="66"/>
      <c r="E259" s="66"/>
      <c r="F259" s="213" t="s">
        <v>171</v>
      </c>
      <c r="G259" s="162">
        <v>0</v>
      </c>
      <c r="H259" s="162">
        <v>0</v>
      </c>
      <c r="I259" s="64">
        <v>0</v>
      </c>
      <c r="J259" s="64">
        <v>0</v>
      </c>
      <c r="K259" s="64">
        <v>225</v>
      </c>
      <c r="L259" s="64">
        <v>6500</v>
      </c>
      <c r="M259" s="64">
        <v>1500</v>
      </c>
      <c r="N259" s="64">
        <v>3000</v>
      </c>
    </row>
    <row r="260" spans="2:14" x14ac:dyDescent="0.2">
      <c r="B260" s="67"/>
      <c r="C260" s="66"/>
      <c r="D260" s="66"/>
      <c r="E260" s="66"/>
      <c r="F260" s="213" t="s">
        <v>172</v>
      </c>
      <c r="G260" s="162">
        <v>0</v>
      </c>
      <c r="H260" s="162">
        <v>0</v>
      </c>
      <c r="I260" s="70">
        <v>127054</v>
      </c>
      <c r="J260" s="64">
        <v>0</v>
      </c>
      <c r="K260" s="64">
        <v>0</v>
      </c>
      <c r="L260" s="64">
        <v>0</v>
      </c>
      <c r="M260" s="64">
        <v>0</v>
      </c>
      <c r="N260" s="64">
        <v>0</v>
      </c>
    </row>
    <row r="261" spans="2:14" x14ac:dyDescent="0.2">
      <c r="B261" s="67"/>
      <c r="C261" s="66"/>
      <c r="D261" s="66"/>
      <c r="E261" s="66"/>
      <c r="F261" s="213" t="s">
        <v>173</v>
      </c>
      <c r="G261" s="162">
        <v>0</v>
      </c>
      <c r="H261" s="162">
        <v>0</v>
      </c>
      <c r="I261" s="70">
        <v>2174</v>
      </c>
      <c r="J261" s="64">
        <v>298</v>
      </c>
      <c r="K261" s="64">
        <f>795+159</f>
        <v>954</v>
      </c>
      <c r="L261" s="64">
        <v>11000</v>
      </c>
      <c r="M261" s="64">
        <v>8700</v>
      </c>
      <c r="N261" s="64">
        <v>8000</v>
      </c>
    </row>
    <row r="262" spans="2:14" x14ac:dyDescent="0.2">
      <c r="B262" s="67"/>
      <c r="C262" s="66"/>
      <c r="D262" s="66"/>
      <c r="E262" s="66"/>
      <c r="F262" s="213" t="s">
        <v>181</v>
      </c>
      <c r="G262" s="162">
        <v>0</v>
      </c>
      <c r="H262" s="162">
        <v>0</v>
      </c>
      <c r="I262" s="64">
        <v>0</v>
      </c>
      <c r="J262" s="64">
        <v>88422</v>
      </c>
      <c r="K262" s="64">
        <v>144841.24</v>
      </c>
      <c r="L262" s="64">
        <v>122831</v>
      </c>
      <c r="M262" s="64">
        <v>163180</v>
      </c>
      <c r="N262" s="64">
        <v>188852</v>
      </c>
    </row>
    <row r="263" spans="2:14" x14ac:dyDescent="0.2">
      <c r="B263" s="67"/>
      <c r="C263" s="66"/>
      <c r="D263" s="233" t="s">
        <v>196</v>
      </c>
      <c r="E263" s="234"/>
      <c r="F263" s="234"/>
      <c r="G263" s="77">
        <f t="shared" ref="G263:N263" si="57">G264+G270+G273</f>
        <v>560191</v>
      </c>
      <c r="H263" s="77">
        <f t="shared" si="57"/>
        <v>693817</v>
      </c>
      <c r="I263" s="77">
        <f t="shared" si="57"/>
        <v>727561</v>
      </c>
      <c r="J263" s="77">
        <f t="shared" si="57"/>
        <v>1161392</v>
      </c>
      <c r="K263" s="77">
        <f t="shared" si="57"/>
        <v>1142288.5499999998</v>
      </c>
      <c r="L263" s="77">
        <f t="shared" si="57"/>
        <v>1432488</v>
      </c>
      <c r="M263" s="77">
        <f t="shared" si="57"/>
        <v>1238665</v>
      </c>
      <c r="N263" s="77">
        <f t="shared" si="57"/>
        <v>1398236</v>
      </c>
    </row>
    <row r="264" spans="2:14" x14ac:dyDescent="0.2">
      <c r="B264" s="67"/>
      <c r="C264" s="66"/>
      <c r="D264" s="66"/>
      <c r="E264" s="235" t="s">
        <v>197</v>
      </c>
      <c r="F264" s="235"/>
      <c r="G264" s="80">
        <f t="shared" ref="G264:N264" si="58">SUM(G265:G269)</f>
        <v>545227</v>
      </c>
      <c r="H264" s="80">
        <f t="shared" si="58"/>
        <v>685003</v>
      </c>
      <c r="I264" s="80">
        <f t="shared" si="58"/>
        <v>713976</v>
      </c>
      <c r="J264" s="80">
        <f t="shared" si="58"/>
        <v>922800</v>
      </c>
      <c r="K264" s="80">
        <f t="shared" si="58"/>
        <v>1103048.8799999999</v>
      </c>
      <c r="L264" s="80">
        <f t="shared" si="58"/>
        <v>1186337</v>
      </c>
      <c r="M264" s="80">
        <f t="shared" si="58"/>
        <v>1175698</v>
      </c>
      <c r="N264" s="80">
        <f t="shared" si="58"/>
        <v>1250211</v>
      </c>
    </row>
    <row r="265" spans="2:14" x14ac:dyDescent="0.2">
      <c r="B265" s="67"/>
      <c r="C265" s="66"/>
      <c r="D265" s="66"/>
      <c r="E265" s="66"/>
      <c r="F265" s="213" t="s">
        <v>165</v>
      </c>
      <c r="G265" s="162">
        <v>538080</v>
      </c>
      <c r="H265" s="162">
        <v>680586</v>
      </c>
      <c r="I265" s="70">
        <v>678122</v>
      </c>
      <c r="J265" s="70">
        <v>910377</v>
      </c>
      <c r="K265" s="70">
        <f>1095524.81</f>
        <v>1095524.81</v>
      </c>
      <c r="L265" s="70">
        <v>1149437</v>
      </c>
      <c r="M265" s="64">
        <v>1167997</v>
      </c>
      <c r="N265" s="64">
        <v>1240311</v>
      </c>
    </row>
    <row r="266" spans="2:14" x14ac:dyDescent="0.2">
      <c r="B266" s="67"/>
      <c r="C266" s="66"/>
      <c r="D266" s="66"/>
      <c r="E266" s="66"/>
      <c r="F266" s="213" t="s">
        <v>166</v>
      </c>
      <c r="G266" s="162">
        <v>2713</v>
      </c>
      <c r="H266" s="162">
        <v>0</v>
      </c>
      <c r="I266" s="64">
        <v>30601</v>
      </c>
      <c r="J266" s="64">
        <v>8360</v>
      </c>
      <c r="K266" s="64">
        <v>5391.9</v>
      </c>
      <c r="L266" s="64">
        <v>32500</v>
      </c>
      <c r="M266" s="64">
        <v>5500</v>
      </c>
      <c r="N266" s="64">
        <v>5500</v>
      </c>
    </row>
    <row r="267" spans="2:14" x14ac:dyDescent="0.2">
      <c r="B267" s="67"/>
      <c r="C267" s="66"/>
      <c r="D267" s="66"/>
      <c r="E267" s="66"/>
      <c r="F267" s="213" t="s">
        <v>190</v>
      </c>
      <c r="G267" s="162">
        <v>0</v>
      </c>
      <c r="H267" s="162">
        <v>0</v>
      </c>
      <c r="I267" s="64">
        <v>0</v>
      </c>
      <c r="J267" s="64">
        <v>540</v>
      </c>
      <c r="K267" s="64">
        <v>0</v>
      </c>
      <c r="L267" s="64">
        <v>0</v>
      </c>
      <c r="M267" s="64">
        <v>0</v>
      </c>
      <c r="N267" s="64"/>
    </row>
    <row r="268" spans="2:14" x14ac:dyDescent="0.2">
      <c r="B268" s="67"/>
      <c r="C268" s="66"/>
      <c r="D268" s="66"/>
      <c r="E268" s="66"/>
      <c r="F268" s="213" t="s">
        <v>198</v>
      </c>
      <c r="G268" s="162">
        <v>4434</v>
      </c>
      <c r="H268" s="162">
        <v>4417</v>
      </c>
      <c r="I268" s="64">
        <v>3909</v>
      </c>
      <c r="J268" s="64">
        <v>2234</v>
      </c>
      <c r="K268" s="64">
        <v>2132.17</v>
      </c>
      <c r="L268" s="64">
        <v>4400</v>
      </c>
      <c r="M268" s="64">
        <v>2201</v>
      </c>
      <c r="N268" s="64">
        <v>4400</v>
      </c>
    </row>
    <row r="269" spans="2:14" x14ac:dyDescent="0.2">
      <c r="B269" s="67"/>
      <c r="C269" s="66"/>
      <c r="D269" s="66"/>
      <c r="E269" s="66"/>
      <c r="F269" s="213" t="s">
        <v>178</v>
      </c>
      <c r="G269" s="162">
        <v>0</v>
      </c>
      <c r="H269" s="162">
        <v>0</v>
      </c>
      <c r="I269" s="64">
        <v>1344</v>
      </c>
      <c r="J269" s="64">
        <v>1289</v>
      </c>
      <c r="K269" s="64">
        <v>0</v>
      </c>
      <c r="L269" s="64">
        <v>0</v>
      </c>
      <c r="M269" s="64">
        <v>0</v>
      </c>
      <c r="N269" s="64">
        <v>0</v>
      </c>
    </row>
    <row r="270" spans="2:14" x14ac:dyDescent="0.2">
      <c r="B270" s="67"/>
      <c r="C270" s="66"/>
      <c r="D270" s="66"/>
      <c r="E270" s="238" t="s">
        <v>199</v>
      </c>
      <c r="F270" s="238"/>
      <c r="G270" s="77">
        <f t="shared" ref="G270:N270" si="59">G271+G272</f>
        <v>0</v>
      </c>
      <c r="H270" s="77">
        <f t="shared" si="59"/>
        <v>0</v>
      </c>
      <c r="I270" s="77">
        <f t="shared" si="59"/>
        <v>2442</v>
      </c>
      <c r="J270" s="77">
        <f t="shared" si="59"/>
        <v>16683</v>
      </c>
      <c r="K270" s="77">
        <f t="shared" si="59"/>
        <v>0</v>
      </c>
      <c r="L270" s="77">
        <f t="shared" si="59"/>
        <v>64400</v>
      </c>
      <c r="M270" s="77">
        <f t="shared" si="59"/>
        <v>0</v>
      </c>
      <c r="N270" s="77">
        <f t="shared" si="59"/>
        <v>64400</v>
      </c>
    </row>
    <row r="271" spans="2:14" x14ac:dyDescent="0.2">
      <c r="B271" s="67"/>
      <c r="C271" s="66"/>
      <c r="D271" s="66"/>
      <c r="E271" s="66"/>
      <c r="F271" s="213" t="s">
        <v>168</v>
      </c>
      <c r="G271" s="162">
        <v>0</v>
      </c>
      <c r="H271" s="162">
        <v>0</v>
      </c>
      <c r="I271" s="70">
        <v>2442</v>
      </c>
      <c r="J271" s="70">
        <v>16683</v>
      </c>
      <c r="K271" s="70">
        <v>0</v>
      </c>
      <c r="L271" s="70">
        <v>0</v>
      </c>
      <c r="M271" s="70">
        <v>0</v>
      </c>
      <c r="N271" s="70">
        <v>0</v>
      </c>
    </row>
    <row r="272" spans="2:14" x14ac:dyDescent="0.2">
      <c r="B272" s="67"/>
      <c r="C272" s="66"/>
      <c r="D272" s="66"/>
      <c r="E272" s="66"/>
      <c r="F272" s="213" t="s">
        <v>200</v>
      </c>
      <c r="G272" s="162">
        <v>0</v>
      </c>
      <c r="H272" s="162">
        <v>0</v>
      </c>
      <c r="I272" s="64">
        <v>0</v>
      </c>
      <c r="J272" s="64">
        <v>0</v>
      </c>
      <c r="K272" s="64">
        <v>0</v>
      </c>
      <c r="L272" s="64">
        <v>64400</v>
      </c>
      <c r="M272" s="64">
        <v>0</v>
      </c>
      <c r="N272" s="64">
        <v>64400</v>
      </c>
    </row>
    <row r="273" spans="2:14" x14ac:dyDescent="0.2">
      <c r="B273" s="67"/>
      <c r="C273" s="66"/>
      <c r="D273" s="66"/>
      <c r="E273" s="235" t="s">
        <v>175</v>
      </c>
      <c r="F273" s="235"/>
      <c r="G273" s="77">
        <f t="shared" ref="G273:N273" si="60">SUM(G274:G278)</f>
        <v>14964</v>
      </c>
      <c r="H273" s="77">
        <f t="shared" si="60"/>
        <v>8814</v>
      </c>
      <c r="I273" s="77">
        <f t="shared" si="60"/>
        <v>11143</v>
      </c>
      <c r="J273" s="77">
        <f t="shared" si="60"/>
        <v>221909</v>
      </c>
      <c r="K273" s="77">
        <f t="shared" si="60"/>
        <v>39239.67</v>
      </c>
      <c r="L273" s="77">
        <f t="shared" si="60"/>
        <v>181751</v>
      </c>
      <c r="M273" s="77">
        <f t="shared" si="60"/>
        <v>62967</v>
      </c>
      <c r="N273" s="77">
        <f t="shared" si="60"/>
        <v>83625</v>
      </c>
    </row>
    <row r="274" spans="2:14" x14ac:dyDescent="0.2">
      <c r="B274" s="67"/>
      <c r="C274" s="66"/>
      <c r="D274" s="66"/>
      <c r="E274" s="66"/>
      <c r="F274" s="213" t="s">
        <v>170</v>
      </c>
      <c r="G274" s="162">
        <v>6299</v>
      </c>
      <c r="H274" s="162">
        <v>5979</v>
      </c>
      <c r="I274" s="70">
        <v>4970</v>
      </c>
      <c r="J274" s="70">
        <v>2754</v>
      </c>
      <c r="K274" s="70">
        <f>3030.13+2585.6</f>
        <v>5615.73</v>
      </c>
      <c r="L274" s="70">
        <v>4850</v>
      </c>
      <c r="M274" s="70">
        <v>4754</v>
      </c>
      <c r="N274" s="70">
        <v>5150</v>
      </c>
    </row>
    <row r="275" spans="2:14" x14ac:dyDescent="0.2">
      <c r="B275" s="67"/>
      <c r="C275" s="66"/>
      <c r="D275" s="66"/>
      <c r="E275" s="66"/>
      <c r="F275" s="213" t="s">
        <v>171</v>
      </c>
      <c r="G275" s="162">
        <v>2924</v>
      </c>
      <c r="H275" s="162">
        <v>115</v>
      </c>
      <c r="I275" s="70">
        <v>1053</v>
      </c>
      <c r="J275" s="64">
        <v>86</v>
      </c>
      <c r="K275" s="64">
        <f>239.3+522.2</f>
        <v>761.5</v>
      </c>
      <c r="L275" s="64">
        <v>475</v>
      </c>
      <c r="M275" s="64">
        <v>1762</v>
      </c>
      <c r="N275" s="64">
        <v>625</v>
      </c>
    </row>
    <row r="276" spans="2:14" x14ac:dyDescent="0.2">
      <c r="B276" s="67"/>
      <c r="C276" s="66"/>
      <c r="D276" s="66"/>
      <c r="E276" s="66"/>
      <c r="F276" s="213" t="s">
        <v>201</v>
      </c>
      <c r="G276" s="162">
        <v>750</v>
      </c>
      <c r="H276" s="162">
        <v>750</v>
      </c>
      <c r="I276" s="70">
        <v>1203</v>
      </c>
      <c r="J276" s="64">
        <v>0</v>
      </c>
      <c r="K276" s="64">
        <f>442.44</f>
        <v>442.44</v>
      </c>
      <c r="L276" s="64">
        <v>850</v>
      </c>
      <c r="M276" s="64">
        <v>0</v>
      </c>
      <c r="N276" s="64">
        <v>850</v>
      </c>
    </row>
    <row r="277" spans="2:14" x14ac:dyDescent="0.2">
      <c r="B277" s="67"/>
      <c r="C277" s="66"/>
      <c r="D277" s="66"/>
      <c r="E277" s="66"/>
      <c r="F277" s="213" t="s">
        <v>172</v>
      </c>
      <c r="G277" s="162">
        <v>0</v>
      </c>
      <c r="H277" s="162">
        <v>0</v>
      </c>
      <c r="I277" s="64">
        <v>0</v>
      </c>
      <c r="J277" s="64">
        <v>210671</v>
      </c>
      <c r="K277" s="64">
        <f>17937</f>
        <v>17937</v>
      </c>
      <c r="L277" s="64">
        <v>43201</v>
      </c>
      <c r="M277" s="64">
        <v>44900</v>
      </c>
      <c r="N277" s="64">
        <v>39000</v>
      </c>
    </row>
    <row r="278" spans="2:14" x14ac:dyDescent="0.2">
      <c r="B278" s="67"/>
      <c r="C278" s="66"/>
      <c r="D278" s="66"/>
      <c r="E278" s="66"/>
      <c r="F278" s="213" t="s">
        <v>173</v>
      </c>
      <c r="G278" s="162">
        <v>4991</v>
      </c>
      <c r="H278" s="162">
        <v>1970</v>
      </c>
      <c r="I278" s="64">
        <v>3917</v>
      </c>
      <c r="J278" s="64">
        <v>8398</v>
      </c>
      <c r="K278" s="64">
        <f>155.24+12783.76+1544</f>
        <v>14483</v>
      </c>
      <c r="L278" s="64">
        <v>132375</v>
      </c>
      <c r="M278" s="64">
        <v>11551</v>
      </c>
      <c r="N278" s="64">
        <v>38000</v>
      </c>
    </row>
    <row r="279" spans="2:14" x14ac:dyDescent="0.2">
      <c r="B279" s="67"/>
      <c r="C279" s="66"/>
      <c r="D279" s="233" t="s">
        <v>202</v>
      </c>
      <c r="E279" s="234"/>
      <c r="F279" s="234"/>
      <c r="G279" s="77">
        <f t="shared" ref="G279:N279" si="61">G280+G285</f>
        <v>218584</v>
      </c>
      <c r="H279" s="77">
        <f t="shared" si="61"/>
        <v>241000</v>
      </c>
      <c r="I279" s="77">
        <f t="shared" si="61"/>
        <v>172053</v>
      </c>
      <c r="J279" s="77">
        <f t="shared" si="61"/>
        <v>300509</v>
      </c>
      <c r="K279" s="77">
        <f t="shared" si="61"/>
        <v>224827.60999999996</v>
      </c>
      <c r="L279" s="77">
        <f t="shared" si="61"/>
        <v>324300</v>
      </c>
      <c r="M279" s="77">
        <f t="shared" si="61"/>
        <v>414669</v>
      </c>
      <c r="N279" s="77">
        <f t="shared" si="61"/>
        <v>346516</v>
      </c>
    </row>
    <row r="280" spans="2:14" x14ac:dyDescent="0.2">
      <c r="B280" s="67"/>
      <c r="C280" s="66"/>
      <c r="D280" s="66"/>
      <c r="E280" s="233" t="s">
        <v>164</v>
      </c>
      <c r="F280" s="233"/>
      <c r="G280" s="75">
        <f t="shared" ref="G280:N280" si="62">SUM(G281:G284)</f>
        <v>213109</v>
      </c>
      <c r="H280" s="75">
        <f t="shared" si="62"/>
        <v>238788</v>
      </c>
      <c r="I280" s="75">
        <f t="shared" si="62"/>
        <v>166180</v>
      </c>
      <c r="J280" s="75">
        <f t="shared" si="62"/>
        <v>192015</v>
      </c>
      <c r="K280" s="75">
        <f t="shared" si="62"/>
        <v>178564.22999999995</v>
      </c>
      <c r="L280" s="75">
        <f t="shared" si="62"/>
        <v>307165</v>
      </c>
      <c r="M280" s="75">
        <f t="shared" si="62"/>
        <v>318978</v>
      </c>
      <c r="N280" s="75">
        <f t="shared" si="62"/>
        <v>328831</v>
      </c>
    </row>
    <row r="281" spans="2:14" x14ac:dyDescent="0.2">
      <c r="B281" s="67"/>
      <c r="C281" s="66"/>
      <c r="D281" s="66"/>
      <c r="E281" s="66"/>
      <c r="F281" s="213" t="s">
        <v>165</v>
      </c>
      <c r="G281" s="162">
        <v>213109</v>
      </c>
      <c r="H281" s="162">
        <v>238578</v>
      </c>
      <c r="I281" s="64">
        <v>166180</v>
      </c>
      <c r="J281" s="64">
        <v>192015</v>
      </c>
      <c r="K281" s="64">
        <v>288830.03999999998</v>
      </c>
      <c r="L281" s="64">
        <v>307165</v>
      </c>
      <c r="M281" s="64">
        <v>318978</v>
      </c>
      <c r="N281" s="64">
        <v>328831</v>
      </c>
    </row>
    <row r="282" spans="2:14" x14ac:dyDescent="0.2">
      <c r="B282" s="67"/>
      <c r="C282" s="66"/>
      <c r="D282" s="66"/>
      <c r="E282" s="66"/>
      <c r="F282" s="214" t="s">
        <v>193</v>
      </c>
      <c r="G282" s="162">
        <v>0</v>
      </c>
      <c r="H282" s="162">
        <v>210</v>
      </c>
      <c r="I282" s="64">
        <v>0</v>
      </c>
      <c r="J282" s="64">
        <v>0</v>
      </c>
      <c r="K282" s="64">
        <v>0</v>
      </c>
      <c r="L282" s="64">
        <v>0</v>
      </c>
      <c r="M282" s="64">
        <v>0</v>
      </c>
      <c r="N282" s="64">
        <v>0</v>
      </c>
    </row>
    <row r="283" spans="2:14" x14ac:dyDescent="0.2">
      <c r="B283" s="67"/>
      <c r="C283" s="66"/>
      <c r="D283" s="66"/>
      <c r="E283" s="66"/>
      <c r="F283" s="213" t="s">
        <v>178</v>
      </c>
      <c r="G283" s="162">
        <v>0</v>
      </c>
      <c r="H283" s="162">
        <v>0</v>
      </c>
      <c r="I283" s="64">
        <v>0</v>
      </c>
      <c r="J283" s="64">
        <v>0</v>
      </c>
      <c r="K283" s="64">
        <v>1489.41</v>
      </c>
      <c r="L283" s="64">
        <v>0</v>
      </c>
      <c r="M283" s="64">
        <v>0</v>
      </c>
      <c r="N283" s="64">
        <v>0</v>
      </c>
    </row>
    <row r="284" spans="2:14" x14ac:dyDescent="0.2">
      <c r="B284" s="67"/>
      <c r="C284" s="66"/>
      <c r="D284" s="66"/>
      <c r="E284" s="66"/>
      <c r="F284" s="213" t="s">
        <v>180</v>
      </c>
      <c r="G284" s="162">
        <v>0</v>
      </c>
      <c r="H284" s="162">
        <v>0</v>
      </c>
      <c r="I284" s="64">
        <v>0</v>
      </c>
      <c r="J284" s="64">
        <v>0</v>
      </c>
      <c r="K284" s="64">
        <v>-111755.22</v>
      </c>
      <c r="L284" s="64">
        <v>0</v>
      </c>
      <c r="M284" s="64">
        <v>0</v>
      </c>
      <c r="N284" s="64">
        <v>0</v>
      </c>
    </row>
    <row r="285" spans="2:14" x14ac:dyDescent="0.2">
      <c r="B285" s="67"/>
      <c r="C285" s="66"/>
      <c r="D285" s="66"/>
      <c r="E285" s="235" t="s">
        <v>175</v>
      </c>
      <c r="F285" s="235"/>
      <c r="G285" s="74">
        <f t="shared" ref="G285:N285" si="63">SUM(G286:G291)</f>
        <v>5475</v>
      </c>
      <c r="H285" s="74">
        <f t="shared" si="63"/>
        <v>2212</v>
      </c>
      <c r="I285" s="74">
        <f t="shared" si="63"/>
        <v>5873</v>
      </c>
      <c r="J285" s="74">
        <f t="shared" si="63"/>
        <v>108494</v>
      </c>
      <c r="K285" s="74">
        <f t="shared" si="63"/>
        <v>46263.380000000005</v>
      </c>
      <c r="L285" s="74">
        <f t="shared" si="63"/>
        <v>17135</v>
      </c>
      <c r="M285" s="74">
        <f t="shared" si="63"/>
        <v>95691</v>
      </c>
      <c r="N285" s="74">
        <f t="shared" si="63"/>
        <v>17685</v>
      </c>
    </row>
    <row r="286" spans="2:14" x14ac:dyDescent="0.2">
      <c r="B286" s="67"/>
      <c r="C286" s="66"/>
      <c r="D286" s="66"/>
      <c r="E286" s="66"/>
      <c r="F286" s="213" t="s">
        <v>170</v>
      </c>
      <c r="G286" s="162">
        <v>3035</v>
      </c>
      <c r="H286" s="162">
        <v>2209</v>
      </c>
      <c r="I286" s="64">
        <v>2447</v>
      </c>
      <c r="J286" s="64">
        <v>3002</v>
      </c>
      <c r="K286" s="64">
        <f>2336.57+2145.77</f>
        <v>4482.34</v>
      </c>
      <c r="L286" s="64">
        <v>3500</v>
      </c>
      <c r="M286" s="64">
        <v>2900</v>
      </c>
      <c r="N286" s="64">
        <v>3500</v>
      </c>
    </row>
    <row r="287" spans="2:14" x14ac:dyDescent="0.2">
      <c r="B287" s="67"/>
      <c r="C287" s="66"/>
      <c r="D287" s="66"/>
      <c r="E287" s="66"/>
      <c r="F287" s="213" t="s">
        <v>172</v>
      </c>
      <c r="G287" s="162">
        <v>0</v>
      </c>
      <c r="H287" s="162">
        <v>0</v>
      </c>
      <c r="I287" s="64">
        <v>73465</v>
      </c>
      <c r="J287" s="64">
        <v>0</v>
      </c>
      <c r="K287" s="64">
        <v>0</v>
      </c>
      <c r="L287" s="64">
        <v>0</v>
      </c>
      <c r="M287" s="64">
        <v>0</v>
      </c>
      <c r="N287" s="64">
        <v>0</v>
      </c>
    </row>
    <row r="288" spans="2:14" x14ac:dyDescent="0.2">
      <c r="B288" s="67"/>
      <c r="C288" s="66"/>
      <c r="D288" s="66"/>
      <c r="E288" s="66"/>
      <c r="F288" s="213" t="s">
        <v>173</v>
      </c>
      <c r="G288" s="162">
        <v>2378</v>
      </c>
      <c r="H288" s="162">
        <v>3</v>
      </c>
      <c r="I288" s="64">
        <v>3350</v>
      </c>
      <c r="J288" s="64">
        <v>7207</v>
      </c>
      <c r="K288" s="64">
        <f>3967.97+2019+274</f>
        <v>6260.9699999999993</v>
      </c>
      <c r="L288" s="64">
        <v>13635</v>
      </c>
      <c r="M288" s="64">
        <v>10375</v>
      </c>
      <c r="N288" s="64">
        <v>14185</v>
      </c>
    </row>
    <row r="289" spans="2:14" x14ac:dyDescent="0.2">
      <c r="B289" s="67"/>
      <c r="C289" s="66"/>
      <c r="D289" s="66"/>
      <c r="E289" s="66"/>
      <c r="F289" s="213" t="s">
        <v>181</v>
      </c>
      <c r="G289" s="162">
        <v>0</v>
      </c>
      <c r="H289" s="162">
        <v>0</v>
      </c>
      <c r="I289" s="64">
        <v>0</v>
      </c>
      <c r="J289" s="64">
        <v>98285</v>
      </c>
      <c r="K289" s="64">
        <v>64859.37</v>
      </c>
      <c r="L289" s="64">
        <v>150219</v>
      </c>
      <c r="M289" s="64">
        <v>82416</v>
      </c>
      <c r="N289" s="64">
        <v>0</v>
      </c>
    </row>
    <row r="290" spans="2:14" x14ac:dyDescent="0.2">
      <c r="B290" s="67"/>
      <c r="C290" s="66"/>
      <c r="D290" s="66"/>
      <c r="E290" s="66"/>
      <c r="F290" s="213" t="s">
        <v>182</v>
      </c>
      <c r="G290" s="162">
        <v>62</v>
      </c>
      <c r="H290" s="162">
        <v>0</v>
      </c>
      <c r="I290" s="64">
        <v>0</v>
      </c>
      <c r="J290" s="64">
        <v>0</v>
      </c>
      <c r="K290" s="64">
        <v>0</v>
      </c>
      <c r="L290" s="64">
        <v>0</v>
      </c>
      <c r="M290" s="64">
        <v>0</v>
      </c>
      <c r="N290" s="64">
        <v>0</v>
      </c>
    </row>
    <row r="291" spans="2:14" x14ac:dyDescent="0.2">
      <c r="B291" s="67"/>
      <c r="C291" s="66"/>
      <c r="D291" s="66"/>
      <c r="E291" s="66"/>
      <c r="F291" s="213" t="s">
        <v>183</v>
      </c>
      <c r="G291" s="162">
        <v>0</v>
      </c>
      <c r="H291" s="162">
        <v>0</v>
      </c>
      <c r="I291" s="64">
        <v>-73389</v>
      </c>
      <c r="J291" s="64">
        <v>0</v>
      </c>
      <c r="K291" s="64">
        <v>-29339.3</v>
      </c>
      <c r="L291" s="64">
        <v>-150219</v>
      </c>
      <c r="M291" s="64">
        <v>0</v>
      </c>
      <c r="N291" s="64">
        <v>0</v>
      </c>
    </row>
    <row r="292" spans="2:14" x14ac:dyDescent="0.2">
      <c r="B292" s="67"/>
      <c r="C292" s="66"/>
      <c r="D292" s="232" t="s">
        <v>203</v>
      </c>
      <c r="E292" s="239"/>
      <c r="F292" s="239"/>
      <c r="G292" s="77">
        <f t="shared" ref="G292:N292" si="64">G293+G296</f>
        <v>26045</v>
      </c>
      <c r="H292" s="77">
        <f t="shared" si="64"/>
        <v>24224</v>
      </c>
      <c r="I292" s="77">
        <f t="shared" si="64"/>
        <v>33347</v>
      </c>
      <c r="J292" s="77">
        <f t="shared" si="64"/>
        <v>64817</v>
      </c>
      <c r="K292" s="77">
        <f t="shared" si="64"/>
        <v>65981.759999999995</v>
      </c>
      <c r="L292" s="77">
        <f t="shared" si="64"/>
        <v>95000</v>
      </c>
      <c r="M292" s="77">
        <f t="shared" si="64"/>
        <v>80500</v>
      </c>
      <c r="N292" s="77">
        <f t="shared" si="64"/>
        <v>80500</v>
      </c>
    </row>
    <row r="293" spans="2:14" x14ac:dyDescent="0.2">
      <c r="B293" s="67"/>
      <c r="C293" s="66"/>
      <c r="D293" s="66"/>
      <c r="E293" s="232" t="s">
        <v>164</v>
      </c>
      <c r="F293" s="232"/>
      <c r="G293" s="73">
        <f>SUM(G294:G295)</f>
        <v>12172</v>
      </c>
      <c r="H293" s="73">
        <f t="shared" ref="H293:N293" si="65">SUM(H294:H295)</f>
        <v>20168</v>
      </c>
      <c r="I293" s="73">
        <f t="shared" si="65"/>
        <v>18255</v>
      </c>
      <c r="J293" s="73">
        <f t="shared" si="65"/>
        <v>25108</v>
      </c>
      <c r="K293" s="73">
        <f t="shared" si="65"/>
        <v>13782.7</v>
      </c>
      <c r="L293" s="73">
        <f t="shared" si="65"/>
        <v>25000</v>
      </c>
      <c r="M293" s="73">
        <f t="shared" si="65"/>
        <v>25000</v>
      </c>
      <c r="N293" s="73">
        <f t="shared" si="65"/>
        <v>25000</v>
      </c>
    </row>
    <row r="294" spans="2:14" x14ac:dyDescent="0.2">
      <c r="B294" s="67"/>
      <c r="C294" s="66"/>
      <c r="D294" s="66"/>
      <c r="E294" s="66"/>
      <c r="F294" s="213" t="s">
        <v>166</v>
      </c>
      <c r="G294" s="162">
        <v>67117</v>
      </c>
      <c r="H294" s="162">
        <v>20168</v>
      </c>
      <c r="I294" s="64">
        <v>18255</v>
      </c>
      <c r="J294" s="64">
        <v>25108</v>
      </c>
      <c r="K294" s="64">
        <v>13782.7</v>
      </c>
      <c r="L294" s="64">
        <v>25000</v>
      </c>
      <c r="M294" s="64">
        <v>25000</v>
      </c>
      <c r="N294" s="64">
        <v>25000</v>
      </c>
    </row>
    <row r="295" spans="2:14" x14ac:dyDescent="0.2">
      <c r="B295" s="67"/>
      <c r="C295" s="66"/>
      <c r="D295" s="66"/>
      <c r="E295" s="66"/>
      <c r="F295" s="213" t="s">
        <v>179</v>
      </c>
      <c r="G295" s="162">
        <v>-54945</v>
      </c>
      <c r="H295" s="162">
        <v>0</v>
      </c>
      <c r="I295" s="64">
        <v>0</v>
      </c>
      <c r="J295" s="64">
        <v>0</v>
      </c>
      <c r="K295" s="64">
        <v>0</v>
      </c>
      <c r="L295" s="64">
        <v>0</v>
      </c>
      <c r="M295" s="64">
        <v>0</v>
      </c>
      <c r="N295" s="64">
        <v>0</v>
      </c>
    </row>
    <row r="296" spans="2:14" x14ac:dyDescent="0.2">
      <c r="B296" s="67"/>
      <c r="C296" s="66"/>
      <c r="D296" s="66"/>
      <c r="E296" s="235" t="s">
        <v>175</v>
      </c>
      <c r="F296" s="235"/>
      <c r="G296" s="68">
        <f t="shared" ref="G296:N296" si="66">G297</f>
        <v>13873</v>
      </c>
      <c r="H296" s="68">
        <f t="shared" si="66"/>
        <v>4056</v>
      </c>
      <c r="I296" s="68">
        <f t="shared" si="66"/>
        <v>15092</v>
      </c>
      <c r="J296" s="68">
        <f t="shared" si="66"/>
        <v>39709</v>
      </c>
      <c r="K296" s="68">
        <f t="shared" si="66"/>
        <v>52199.06</v>
      </c>
      <c r="L296" s="68">
        <f t="shared" si="66"/>
        <v>70000</v>
      </c>
      <c r="M296" s="68">
        <f t="shared" si="66"/>
        <v>55500</v>
      </c>
      <c r="N296" s="68">
        <f t="shared" si="66"/>
        <v>55500</v>
      </c>
    </row>
    <row r="297" spans="2:14" x14ac:dyDescent="0.2">
      <c r="B297" s="67"/>
      <c r="C297" s="66"/>
      <c r="D297" s="66"/>
      <c r="E297" s="66"/>
      <c r="F297" s="213" t="s">
        <v>172</v>
      </c>
      <c r="G297" s="162">
        <v>13873</v>
      </c>
      <c r="H297" s="162">
        <v>4056</v>
      </c>
      <c r="I297" s="64">
        <v>15092</v>
      </c>
      <c r="J297" s="64">
        <v>39709</v>
      </c>
      <c r="K297" s="64">
        <v>52199.06</v>
      </c>
      <c r="L297" s="64">
        <v>70000</v>
      </c>
      <c r="M297" s="64">
        <v>55500</v>
      </c>
      <c r="N297" s="64">
        <v>55500</v>
      </c>
    </row>
    <row r="298" spans="2:14" x14ac:dyDescent="0.2">
      <c r="B298" s="67"/>
      <c r="C298" s="66"/>
      <c r="D298" s="233" t="s">
        <v>204</v>
      </c>
      <c r="E298" s="234"/>
      <c r="F298" s="234"/>
      <c r="G298" s="77">
        <f t="shared" ref="G298:N298" si="67">G299+G305+G307</f>
        <v>1463461</v>
      </c>
      <c r="H298" s="77">
        <f t="shared" si="67"/>
        <v>1787746</v>
      </c>
      <c r="I298" s="77">
        <f t="shared" si="67"/>
        <v>2563198</v>
      </c>
      <c r="J298" s="77">
        <f t="shared" si="67"/>
        <v>3375634</v>
      </c>
      <c r="K298" s="77">
        <f t="shared" si="67"/>
        <v>3936247.7600000002</v>
      </c>
      <c r="L298" s="77">
        <f t="shared" si="67"/>
        <v>1713222</v>
      </c>
      <c r="M298" s="77">
        <f t="shared" si="67"/>
        <v>1873602</v>
      </c>
      <c r="N298" s="77">
        <f t="shared" si="67"/>
        <v>2430163</v>
      </c>
    </row>
    <row r="299" spans="2:14" x14ac:dyDescent="0.2">
      <c r="B299" s="67"/>
      <c r="C299" s="66"/>
      <c r="D299" s="66"/>
      <c r="E299" s="232" t="s">
        <v>164</v>
      </c>
      <c r="F299" s="232"/>
      <c r="G299" s="73">
        <f t="shared" ref="G299:N299" si="68">SUM(G300:G304)</f>
        <v>434152</v>
      </c>
      <c r="H299" s="73">
        <f t="shared" si="68"/>
        <v>408512</v>
      </c>
      <c r="I299" s="73">
        <f t="shared" si="68"/>
        <v>688318</v>
      </c>
      <c r="J299" s="73">
        <f t="shared" si="68"/>
        <v>847656</v>
      </c>
      <c r="K299" s="73">
        <f t="shared" si="68"/>
        <v>745666.85000000009</v>
      </c>
      <c r="L299" s="73">
        <f t="shared" si="68"/>
        <v>651522</v>
      </c>
      <c r="M299" s="73">
        <f t="shared" si="68"/>
        <v>390457</v>
      </c>
      <c r="N299" s="73">
        <f t="shared" si="68"/>
        <v>678365</v>
      </c>
    </row>
    <row r="300" spans="2:14" x14ac:dyDescent="0.2">
      <c r="B300" s="67"/>
      <c r="C300" s="66"/>
      <c r="D300" s="66"/>
      <c r="E300" s="66"/>
      <c r="F300" s="213" t="s">
        <v>165</v>
      </c>
      <c r="G300" s="162">
        <v>389026</v>
      </c>
      <c r="H300" s="162">
        <v>432693</v>
      </c>
      <c r="I300" s="64">
        <v>658994</v>
      </c>
      <c r="J300" s="64">
        <v>830081</v>
      </c>
      <c r="K300" s="64">
        <v>754055.05</v>
      </c>
      <c r="L300" s="64">
        <v>651522</v>
      </c>
      <c r="M300" s="64">
        <v>379457</v>
      </c>
      <c r="N300" s="64">
        <v>673365</v>
      </c>
    </row>
    <row r="301" spans="2:14" x14ac:dyDescent="0.2">
      <c r="B301" s="67"/>
      <c r="C301" s="66"/>
      <c r="D301" s="66"/>
      <c r="E301" s="66"/>
      <c r="F301" s="213" t="s">
        <v>166</v>
      </c>
      <c r="G301" s="162">
        <v>44051</v>
      </c>
      <c r="H301" s="162">
        <v>53511</v>
      </c>
      <c r="I301" s="64">
        <v>29324</v>
      </c>
      <c r="J301" s="64">
        <v>14794</v>
      </c>
      <c r="K301" s="64">
        <v>0</v>
      </c>
      <c r="L301" s="64">
        <v>0</v>
      </c>
      <c r="M301" s="64">
        <v>6090</v>
      </c>
      <c r="N301" s="64">
        <v>0</v>
      </c>
    </row>
    <row r="302" spans="2:14" x14ac:dyDescent="0.2">
      <c r="B302" s="67"/>
      <c r="C302" s="66"/>
      <c r="D302" s="66"/>
      <c r="E302" s="66"/>
      <c r="F302" s="213" t="s">
        <v>190</v>
      </c>
      <c r="G302" s="162">
        <v>0</v>
      </c>
      <c r="H302" s="162">
        <v>0</v>
      </c>
      <c r="I302" s="64">
        <v>0</v>
      </c>
      <c r="J302" s="64">
        <v>5432</v>
      </c>
      <c r="K302" s="64">
        <v>5248.16</v>
      </c>
      <c r="L302" s="64">
        <v>0</v>
      </c>
      <c r="M302" s="64">
        <v>4910</v>
      </c>
      <c r="N302" s="64">
        <v>5000</v>
      </c>
    </row>
    <row r="303" spans="2:14" x14ac:dyDescent="0.2">
      <c r="B303" s="67"/>
      <c r="C303" s="66"/>
      <c r="D303" s="66"/>
      <c r="E303" s="66"/>
      <c r="F303" s="213" t="s">
        <v>198</v>
      </c>
      <c r="G303" s="162">
        <v>1075</v>
      </c>
      <c r="H303" s="162">
        <v>0</v>
      </c>
      <c r="I303" s="64">
        <v>0</v>
      </c>
      <c r="J303" s="64">
        <v>0</v>
      </c>
      <c r="K303" s="64">
        <v>0</v>
      </c>
      <c r="L303" s="64">
        <v>0</v>
      </c>
      <c r="M303" s="64">
        <v>0</v>
      </c>
      <c r="N303" s="64">
        <v>0</v>
      </c>
    </row>
    <row r="304" spans="2:14" x14ac:dyDescent="0.2">
      <c r="B304" s="67"/>
      <c r="C304" s="66"/>
      <c r="D304" s="66"/>
      <c r="E304" s="66"/>
      <c r="F304" s="213" t="s">
        <v>179</v>
      </c>
      <c r="G304" s="162">
        <v>0</v>
      </c>
      <c r="H304" s="162">
        <v>-77692</v>
      </c>
      <c r="I304" s="64">
        <v>0</v>
      </c>
      <c r="J304" s="64">
        <v>-2651</v>
      </c>
      <c r="K304" s="64">
        <v>-13636.36</v>
      </c>
      <c r="L304" s="64">
        <v>0</v>
      </c>
      <c r="M304" s="64">
        <v>0</v>
      </c>
      <c r="N304" s="64">
        <v>0</v>
      </c>
    </row>
    <row r="305" spans="2:14" x14ac:dyDescent="0.2">
      <c r="B305" s="67"/>
      <c r="C305" s="66"/>
      <c r="D305" s="66"/>
      <c r="E305" s="235" t="s">
        <v>167</v>
      </c>
      <c r="F305" s="235"/>
      <c r="G305" s="65">
        <f t="shared" ref="G305:N305" si="69">G306</f>
        <v>0</v>
      </c>
      <c r="H305" s="65">
        <f t="shared" si="69"/>
        <v>0</v>
      </c>
      <c r="I305" s="65">
        <f t="shared" si="69"/>
        <v>1956</v>
      </c>
      <c r="J305" s="65">
        <f t="shared" si="69"/>
        <v>0</v>
      </c>
      <c r="K305" s="65">
        <f t="shared" si="69"/>
        <v>0</v>
      </c>
      <c r="L305" s="65">
        <f t="shared" si="69"/>
        <v>0</v>
      </c>
      <c r="M305" s="65">
        <f t="shared" si="69"/>
        <v>0</v>
      </c>
      <c r="N305" s="65">
        <f t="shared" si="69"/>
        <v>0</v>
      </c>
    </row>
    <row r="306" spans="2:14" x14ac:dyDescent="0.2">
      <c r="B306" s="67"/>
      <c r="C306" s="66"/>
      <c r="D306" s="66"/>
      <c r="E306" s="66"/>
      <c r="F306" s="210" t="s">
        <v>168</v>
      </c>
      <c r="G306" s="162">
        <v>0</v>
      </c>
      <c r="H306" s="162">
        <v>0</v>
      </c>
      <c r="I306" s="70">
        <v>1956</v>
      </c>
      <c r="J306" s="70">
        <v>0</v>
      </c>
      <c r="K306" s="70">
        <v>0</v>
      </c>
      <c r="L306" s="70">
        <v>0</v>
      </c>
      <c r="M306" s="64">
        <v>0</v>
      </c>
      <c r="N306" s="64">
        <v>0</v>
      </c>
    </row>
    <row r="307" spans="2:14" x14ac:dyDescent="0.2">
      <c r="B307" s="67"/>
      <c r="C307" s="66"/>
      <c r="D307" s="66"/>
      <c r="E307" s="235" t="s">
        <v>175</v>
      </c>
      <c r="F307" s="235"/>
      <c r="G307" s="74">
        <f t="shared" ref="G307:N307" si="70">SUM(G308:G313)</f>
        <v>1029309</v>
      </c>
      <c r="H307" s="74">
        <f t="shared" si="70"/>
        <v>1379234</v>
      </c>
      <c r="I307" s="74">
        <f t="shared" si="70"/>
        <v>1872924</v>
      </c>
      <c r="J307" s="74">
        <f t="shared" si="70"/>
        <v>2527978</v>
      </c>
      <c r="K307" s="74">
        <f t="shared" si="70"/>
        <v>3190580.91</v>
      </c>
      <c r="L307" s="74">
        <f t="shared" si="70"/>
        <v>1061700</v>
      </c>
      <c r="M307" s="74">
        <f t="shared" si="70"/>
        <v>1483145</v>
      </c>
      <c r="N307" s="74">
        <f t="shared" si="70"/>
        <v>1751798</v>
      </c>
    </row>
    <row r="308" spans="2:14" x14ac:dyDescent="0.2">
      <c r="B308" s="67"/>
      <c r="C308" s="66"/>
      <c r="D308" s="66"/>
      <c r="E308" s="66"/>
      <c r="F308" s="213" t="s">
        <v>170</v>
      </c>
      <c r="G308" s="162">
        <v>3442</v>
      </c>
      <c r="H308" s="162">
        <v>2122</v>
      </c>
      <c r="I308" s="64">
        <v>3534</v>
      </c>
      <c r="J308" s="64">
        <v>7860</v>
      </c>
      <c r="K308" s="64">
        <f>1158.97+464.75</f>
        <v>1623.72</v>
      </c>
      <c r="L308" s="64">
        <v>5200</v>
      </c>
      <c r="M308" s="64">
        <v>2605</v>
      </c>
      <c r="N308" s="64">
        <v>5700</v>
      </c>
    </row>
    <row r="309" spans="2:14" x14ac:dyDescent="0.2">
      <c r="B309" s="67"/>
      <c r="C309" s="66"/>
      <c r="D309" s="66"/>
      <c r="E309" s="66"/>
      <c r="F309" s="213" t="s">
        <v>171</v>
      </c>
      <c r="G309" s="162">
        <v>660274</v>
      </c>
      <c r="H309" s="162">
        <v>1075210</v>
      </c>
      <c r="I309" s="64">
        <v>1341998</v>
      </c>
      <c r="J309" s="64">
        <v>1514325</v>
      </c>
      <c r="K309" s="64">
        <f>2063829.29+2259+2723.05+1050</f>
        <v>2069861.34</v>
      </c>
      <c r="L309" s="64">
        <v>56000</v>
      </c>
      <c r="M309" s="64">
        <v>59912</v>
      </c>
      <c r="N309" s="64">
        <v>852478</v>
      </c>
    </row>
    <row r="310" spans="2:14" x14ac:dyDescent="0.2">
      <c r="B310" s="67"/>
      <c r="C310" s="66"/>
      <c r="D310" s="66"/>
      <c r="E310" s="66"/>
      <c r="F310" s="213" t="s">
        <v>188</v>
      </c>
      <c r="G310" s="162">
        <v>230556</v>
      </c>
      <c r="H310" s="162">
        <v>244767</v>
      </c>
      <c r="I310" s="64">
        <v>220049</v>
      </c>
      <c r="J310" s="64">
        <v>235441</v>
      </c>
      <c r="K310" s="64">
        <f>131772.12+134642.14</f>
        <v>266414.26</v>
      </c>
      <c r="L310" s="64">
        <v>286500</v>
      </c>
      <c r="M310" s="64">
        <v>313340</v>
      </c>
      <c r="N310" s="64">
        <v>330120</v>
      </c>
    </row>
    <row r="311" spans="2:14" x14ac:dyDescent="0.2">
      <c r="B311" s="67"/>
      <c r="C311" s="66"/>
      <c r="D311" s="66"/>
      <c r="E311" s="66"/>
      <c r="F311" s="213" t="s">
        <v>172</v>
      </c>
      <c r="G311" s="162">
        <v>152956</v>
      </c>
      <c r="H311" s="162">
        <v>100122</v>
      </c>
      <c r="I311" s="64">
        <v>317239</v>
      </c>
      <c r="J311" s="64">
        <v>772919</v>
      </c>
      <c r="K311" s="64">
        <v>853538.76</v>
      </c>
      <c r="L311" s="64">
        <v>718500</v>
      </c>
      <c r="M311" s="64">
        <v>1123638</v>
      </c>
      <c r="N311" s="64">
        <v>575000</v>
      </c>
    </row>
    <row r="312" spans="2:14" x14ac:dyDescent="0.2">
      <c r="B312" s="67"/>
      <c r="C312" s="66"/>
      <c r="D312" s="66"/>
      <c r="E312" s="66"/>
      <c r="F312" s="213" t="s">
        <v>173</v>
      </c>
      <c r="G312" s="162">
        <v>1200</v>
      </c>
      <c r="H312" s="162">
        <v>0</v>
      </c>
      <c r="I312" s="64">
        <v>8041</v>
      </c>
      <c r="J312" s="64">
        <v>10838</v>
      </c>
      <c r="K312" s="64">
        <f>1661.21+5808.48+346</f>
        <v>7815.69</v>
      </c>
      <c r="L312" s="64">
        <v>12500</v>
      </c>
      <c r="M312" s="64">
        <v>650</v>
      </c>
      <c r="N312" s="64">
        <v>5500</v>
      </c>
    </row>
    <row r="313" spans="2:14" x14ac:dyDescent="0.2">
      <c r="B313" s="67"/>
      <c r="C313" s="66"/>
      <c r="D313" s="66"/>
      <c r="E313" s="66"/>
      <c r="F313" s="213" t="s">
        <v>183</v>
      </c>
      <c r="G313" s="162">
        <v>-19119</v>
      </c>
      <c r="H313" s="162">
        <v>-42987</v>
      </c>
      <c r="I313" s="64">
        <v>-17937</v>
      </c>
      <c r="J313" s="64">
        <v>-13405</v>
      </c>
      <c r="K313" s="64">
        <v>-8672.86</v>
      </c>
      <c r="L313" s="64">
        <v>-17000</v>
      </c>
      <c r="M313" s="64">
        <v>-17000</v>
      </c>
      <c r="N313" s="64">
        <v>-17000</v>
      </c>
    </row>
    <row r="314" spans="2:14" x14ac:dyDescent="0.2">
      <c r="B314" s="67"/>
      <c r="C314" s="236" t="s">
        <v>37</v>
      </c>
      <c r="D314" s="236"/>
      <c r="E314" s="236"/>
      <c r="F314" s="236"/>
      <c r="G314" s="71">
        <f t="shared" ref="G314:N314" si="71">G315+G330+G340+G355</f>
        <v>2026531</v>
      </c>
      <c r="H314" s="71">
        <f t="shared" si="71"/>
        <v>1985326</v>
      </c>
      <c r="I314" s="71">
        <f t="shared" si="71"/>
        <v>2590507</v>
      </c>
      <c r="J314" s="71">
        <f t="shared" si="71"/>
        <v>3043626</v>
      </c>
      <c r="K314" s="71">
        <f t="shared" si="71"/>
        <v>3536366.5600000005</v>
      </c>
      <c r="L314" s="71">
        <f t="shared" si="71"/>
        <v>4084489</v>
      </c>
      <c r="M314" s="71">
        <f t="shared" si="71"/>
        <v>4056039</v>
      </c>
      <c r="N314" s="71">
        <f t="shared" si="71"/>
        <v>4709738</v>
      </c>
    </row>
    <row r="315" spans="2:14" x14ac:dyDescent="0.2">
      <c r="B315" s="67"/>
      <c r="C315" s="66"/>
      <c r="D315" s="233" t="s">
        <v>205</v>
      </c>
      <c r="E315" s="234"/>
      <c r="F315" s="234"/>
      <c r="G315" s="77">
        <f t="shared" ref="G315:N315" si="72">G316+G322+G324</f>
        <v>633710</v>
      </c>
      <c r="H315" s="77">
        <f t="shared" si="72"/>
        <v>865048</v>
      </c>
      <c r="I315" s="77">
        <f t="shared" si="72"/>
        <v>997724</v>
      </c>
      <c r="J315" s="77">
        <f t="shared" si="72"/>
        <v>1145093</v>
      </c>
      <c r="K315" s="77">
        <f t="shared" si="72"/>
        <v>1041871.02</v>
      </c>
      <c r="L315" s="77">
        <f t="shared" si="72"/>
        <v>1144200</v>
      </c>
      <c r="M315" s="77">
        <f t="shared" si="72"/>
        <v>1132335</v>
      </c>
      <c r="N315" s="77">
        <f t="shared" si="72"/>
        <v>1214437</v>
      </c>
    </row>
    <row r="316" spans="2:14" x14ac:dyDescent="0.2">
      <c r="B316" s="67"/>
      <c r="C316" s="66"/>
      <c r="D316" s="66"/>
      <c r="E316" s="238" t="s">
        <v>206</v>
      </c>
      <c r="F316" s="238"/>
      <c r="G316" s="80">
        <f t="shared" ref="G316:N316" si="73">SUM(G317:G321)</f>
        <v>478870</v>
      </c>
      <c r="H316" s="80">
        <f t="shared" si="73"/>
        <v>644214</v>
      </c>
      <c r="I316" s="80">
        <f t="shared" si="73"/>
        <v>754881</v>
      </c>
      <c r="J316" s="80">
        <f t="shared" si="73"/>
        <v>849038</v>
      </c>
      <c r="K316" s="80">
        <f t="shared" si="73"/>
        <v>811878.41</v>
      </c>
      <c r="L316" s="80">
        <f t="shared" si="73"/>
        <v>915568</v>
      </c>
      <c r="M316" s="80">
        <f t="shared" si="73"/>
        <v>877982</v>
      </c>
      <c r="N316" s="80">
        <f t="shared" si="73"/>
        <v>936790</v>
      </c>
    </row>
    <row r="317" spans="2:14" x14ac:dyDescent="0.2">
      <c r="B317" s="67"/>
      <c r="C317" s="66"/>
      <c r="D317" s="66"/>
      <c r="E317" s="66"/>
      <c r="F317" s="213" t="s">
        <v>165</v>
      </c>
      <c r="G317" s="162">
        <v>471021</v>
      </c>
      <c r="H317" s="162">
        <v>622964</v>
      </c>
      <c r="I317" s="70">
        <v>751313</v>
      </c>
      <c r="J317" s="70">
        <v>848324</v>
      </c>
      <c r="K317" s="70">
        <v>811175.35</v>
      </c>
      <c r="L317" s="70">
        <v>914568</v>
      </c>
      <c r="M317" s="64">
        <v>877482</v>
      </c>
      <c r="N317" s="64">
        <v>935790</v>
      </c>
    </row>
    <row r="318" spans="2:14" x14ac:dyDescent="0.2">
      <c r="B318" s="67"/>
      <c r="C318" s="66"/>
      <c r="D318" s="66"/>
      <c r="E318" s="66"/>
      <c r="F318" s="213" t="s">
        <v>166</v>
      </c>
      <c r="G318" s="162">
        <v>1541</v>
      </c>
      <c r="H318" s="162">
        <v>0</v>
      </c>
      <c r="I318" s="70">
        <v>0</v>
      </c>
      <c r="J318" s="70">
        <v>0</v>
      </c>
      <c r="K318" s="70">
        <v>0</v>
      </c>
      <c r="L318" s="70">
        <v>0</v>
      </c>
      <c r="M318" s="64">
        <v>0</v>
      </c>
      <c r="N318" s="64">
        <v>0</v>
      </c>
    </row>
    <row r="319" spans="2:14" x14ac:dyDescent="0.2">
      <c r="B319" s="67"/>
      <c r="C319" s="66"/>
      <c r="D319" s="66"/>
      <c r="E319" s="66"/>
      <c r="F319" s="213" t="s">
        <v>190</v>
      </c>
      <c r="G319" s="162">
        <v>4330</v>
      </c>
      <c r="H319" s="162">
        <v>12393</v>
      </c>
      <c r="I319" s="64">
        <v>3390</v>
      </c>
      <c r="J319" s="64">
        <v>0</v>
      </c>
      <c r="K319" s="64">
        <v>657.41</v>
      </c>
      <c r="L319" s="64">
        <v>1000</v>
      </c>
      <c r="M319" s="64">
        <v>500</v>
      </c>
      <c r="N319" s="64">
        <v>1000</v>
      </c>
    </row>
    <row r="320" spans="2:14" x14ac:dyDescent="0.2">
      <c r="B320" s="67"/>
      <c r="C320" s="66"/>
      <c r="D320" s="66"/>
      <c r="E320" s="66"/>
      <c r="F320" s="213" t="s">
        <v>198</v>
      </c>
      <c r="G320" s="162">
        <v>1035</v>
      </c>
      <c r="H320" s="162">
        <v>0</v>
      </c>
      <c r="I320" s="64">
        <v>0</v>
      </c>
      <c r="J320" s="64">
        <v>0</v>
      </c>
      <c r="K320" s="64">
        <v>0</v>
      </c>
      <c r="L320" s="64">
        <v>0</v>
      </c>
      <c r="M320" s="64">
        <v>0</v>
      </c>
      <c r="N320" s="64">
        <v>0</v>
      </c>
    </row>
    <row r="321" spans="2:14" x14ac:dyDescent="0.2">
      <c r="B321" s="67"/>
      <c r="C321" s="66"/>
      <c r="D321" s="66"/>
      <c r="E321" s="66"/>
      <c r="F321" s="213" t="s">
        <v>178</v>
      </c>
      <c r="G321" s="162">
        <v>943</v>
      </c>
      <c r="H321" s="162">
        <v>8857</v>
      </c>
      <c r="I321" s="64">
        <v>178</v>
      </c>
      <c r="J321" s="64">
        <v>714</v>
      </c>
      <c r="K321" s="64">
        <v>45.65</v>
      </c>
      <c r="L321" s="64">
        <v>0</v>
      </c>
      <c r="M321" s="64">
        <v>0</v>
      </c>
      <c r="N321" s="64">
        <v>0</v>
      </c>
    </row>
    <row r="322" spans="2:14" x14ac:dyDescent="0.2">
      <c r="B322" s="67"/>
      <c r="C322" s="66"/>
      <c r="D322" s="66"/>
      <c r="E322" s="235" t="s">
        <v>167</v>
      </c>
      <c r="F322" s="235"/>
      <c r="G322" s="80">
        <f t="shared" ref="G322:N322" si="74">SUM(G323:G323)</f>
        <v>0</v>
      </c>
      <c r="H322" s="80">
        <f t="shared" si="74"/>
        <v>0</v>
      </c>
      <c r="I322" s="80">
        <f t="shared" si="74"/>
        <v>43881</v>
      </c>
      <c r="J322" s="80">
        <f t="shared" si="74"/>
        <v>29247</v>
      </c>
      <c r="K322" s="80">
        <f t="shared" si="74"/>
        <v>0</v>
      </c>
      <c r="L322" s="80">
        <f t="shared" si="74"/>
        <v>0</v>
      </c>
      <c r="M322" s="80">
        <f t="shared" si="74"/>
        <v>0</v>
      </c>
      <c r="N322" s="80">
        <f t="shared" si="74"/>
        <v>0</v>
      </c>
    </row>
    <row r="323" spans="2:14" x14ac:dyDescent="0.2">
      <c r="B323" s="67"/>
      <c r="C323" s="66"/>
      <c r="D323" s="66"/>
      <c r="E323" s="66"/>
      <c r="F323" s="210" t="s">
        <v>168</v>
      </c>
      <c r="G323" s="162">
        <v>0</v>
      </c>
      <c r="H323" s="162">
        <v>0</v>
      </c>
      <c r="I323" s="70">
        <v>43881</v>
      </c>
      <c r="J323" s="70">
        <v>29247</v>
      </c>
      <c r="K323" s="70">
        <v>0</v>
      </c>
      <c r="L323" s="70">
        <v>0</v>
      </c>
      <c r="M323" s="70">
        <v>0</v>
      </c>
      <c r="N323" s="70">
        <v>0</v>
      </c>
    </row>
    <row r="324" spans="2:14" x14ac:dyDescent="0.2">
      <c r="B324" s="67"/>
      <c r="C324" s="66"/>
      <c r="D324" s="66"/>
      <c r="E324" s="238" t="s">
        <v>195</v>
      </c>
      <c r="F324" s="238"/>
      <c r="G324" s="77">
        <f t="shared" ref="G324:N324" si="75">SUM(G325:G329)</f>
        <v>154840</v>
      </c>
      <c r="H324" s="77">
        <f t="shared" si="75"/>
        <v>220834</v>
      </c>
      <c r="I324" s="77">
        <f t="shared" si="75"/>
        <v>198962</v>
      </c>
      <c r="J324" s="77">
        <f t="shared" si="75"/>
        <v>266808</v>
      </c>
      <c r="K324" s="77">
        <f t="shared" si="75"/>
        <v>229992.61</v>
      </c>
      <c r="L324" s="77">
        <f t="shared" si="75"/>
        <v>228632</v>
      </c>
      <c r="M324" s="77">
        <f t="shared" si="75"/>
        <v>254353</v>
      </c>
      <c r="N324" s="77">
        <f t="shared" si="75"/>
        <v>277647</v>
      </c>
    </row>
    <row r="325" spans="2:14" x14ac:dyDescent="0.2">
      <c r="B325" s="67"/>
      <c r="C325" s="66"/>
      <c r="D325" s="66"/>
      <c r="E325" s="66"/>
      <c r="F325" s="213" t="s">
        <v>170</v>
      </c>
      <c r="G325" s="162">
        <v>36301</v>
      </c>
      <c r="H325" s="162">
        <v>25451</v>
      </c>
      <c r="I325" s="70">
        <v>27969</v>
      </c>
      <c r="J325" s="70">
        <v>30857</v>
      </c>
      <c r="K325" s="70">
        <f>24026.34+8020.86</f>
        <v>32047.200000000001</v>
      </c>
      <c r="L325" s="70">
        <v>44832</v>
      </c>
      <c r="M325" s="70">
        <v>40217</v>
      </c>
      <c r="N325" s="70">
        <v>35057</v>
      </c>
    </row>
    <row r="326" spans="2:14" x14ac:dyDescent="0.2">
      <c r="B326" s="67"/>
      <c r="C326" s="66"/>
      <c r="D326" s="66"/>
      <c r="E326" s="66"/>
      <c r="F326" s="213" t="s">
        <v>171</v>
      </c>
      <c r="G326" s="162">
        <v>0</v>
      </c>
      <c r="H326" s="162">
        <v>99980</v>
      </c>
      <c r="I326" s="64">
        <v>-32587</v>
      </c>
      <c r="J326" s="64">
        <v>16385</v>
      </c>
      <c r="K326" s="64">
        <f>24.99+3468+5100-6222.58</f>
        <v>2370.41</v>
      </c>
      <c r="L326" s="64">
        <v>17300</v>
      </c>
      <c r="M326" s="64">
        <v>7875</v>
      </c>
      <c r="N326" s="64">
        <v>33050</v>
      </c>
    </row>
    <row r="327" spans="2:14" x14ac:dyDescent="0.2">
      <c r="B327" s="67"/>
      <c r="C327" s="66"/>
      <c r="D327" s="66"/>
      <c r="E327" s="66"/>
      <c r="F327" s="213" t="s">
        <v>172</v>
      </c>
      <c r="G327" s="162">
        <v>116689</v>
      </c>
      <c r="H327" s="162">
        <v>93375</v>
      </c>
      <c r="I327" s="64">
        <v>195800</v>
      </c>
      <c r="J327" s="64">
        <v>217530</v>
      </c>
      <c r="K327" s="64">
        <f>189751.5</f>
        <v>189751.5</v>
      </c>
      <c r="L327" s="64">
        <v>160000</v>
      </c>
      <c r="M327" s="64">
        <v>202040</v>
      </c>
      <c r="N327" s="64">
        <v>203000</v>
      </c>
    </row>
    <row r="328" spans="2:14" x14ac:dyDescent="0.2">
      <c r="B328" s="67"/>
      <c r="C328" s="66"/>
      <c r="D328" s="66"/>
      <c r="E328" s="66"/>
      <c r="F328" s="213" t="s">
        <v>173</v>
      </c>
      <c r="G328" s="162">
        <v>0</v>
      </c>
      <c r="H328" s="162">
        <v>6</v>
      </c>
      <c r="I328" s="64">
        <v>0</v>
      </c>
      <c r="J328" s="64">
        <v>40</v>
      </c>
      <c r="K328" s="64">
        <f>85+10</f>
        <v>95</v>
      </c>
      <c r="L328" s="64">
        <v>500</v>
      </c>
      <c r="M328" s="64">
        <v>340</v>
      </c>
      <c r="N328" s="64">
        <v>540</v>
      </c>
    </row>
    <row r="329" spans="2:14" x14ac:dyDescent="0.2">
      <c r="B329" s="67"/>
      <c r="C329" s="66"/>
      <c r="D329" s="66"/>
      <c r="E329" s="66"/>
      <c r="F329" s="213" t="s">
        <v>207</v>
      </c>
      <c r="G329" s="162">
        <v>1850</v>
      </c>
      <c r="H329" s="162">
        <v>2022</v>
      </c>
      <c r="I329" s="64">
        <v>7780</v>
      </c>
      <c r="J329" s="64">
        <v>1996</v>
      </c>
      <c r="K329" s="64">
        <f>5728.5</f>
        <v>5728.5</v>
      </c>
      <c r="L329" s="64">
        <v>6000</v>
      </c>
      <c r="M329" s="64">
        <v>3881</v>
      </c>
      <c r="N329" s="64">
        <v>6000</v>
      </c>
    </row>
    <row r="330" spans="2:14" x14ac:dyDescent="0.2">
      <c r="B330" s="67"/>
      <c r="C330" s="66"/>
      <c r="D330" s="235" t="s">
        <v>208</v>
      </c>
      <c r="E330" s="235"/>
      <c r="F330" s="235"/>
      <c r="G330" s="77">
        <f t="shared" ref="G330:N330" si="76">G331+G335</f>
        <v>840779</v>
      </c>
      <c r="H330" s="77">
        <f t="shared" si="76"/>
        <v>868390</v>
      </c>
      <c r="I330" s="77">
        <f t="shared" si="76"/>
        <v>716502</v>
      </c>
      <c r="J330" s="77">
        <f t="shared" si="76"/>
        <v>637232</v>
      </c>
      <c r="K330" s="77">
        <f t="shared" si="76"/>
        <v>587184.09</v>
      </c>
      <c r="L330" s="77">
        <f t="shared" si="76"/>
        <v>675861</v>
      </c>
      <c r="M330" s="77">
        <f t="shared" si="76"/>
        <v>683551</v>
      </c>
      <c r="N330" s="77">
        <f t="shared" si="76"/>
        <v>902714</v>
      </c>
    </row>
    <row r="331" spans="2:14" x14ac:dyDescent="0.2">
      <c r="B331" s="67"/>
      <c r="C331" s="66"/>
      <c r="D331" s="66"/>
      <c r="E331" s="232" t="s">
        <v>164</v>
      </c>
      <c r="F331" s="232"/>
      <c r="G331" s="73">
        <f>SUM(G332:G334)</f>
        <v>629638</v>
      </c>
      <c r="H331" s="73">
        <f t="shared" ref="H331:N331" si="77">SUM(H332:H334)</f>
        <v>664679</v>
      </c>
      <c r="I331" s="73">
        <f t="shared" si="77"/>
        <v>699675</v>
      </c>
      <c r="J331" s="73">
        <f t="shared" si="77"/>
        <v>625237</v>
      </c>
      <c r="K331" s="73">
        <f t="shared" si="77"/>
        <v>578798.98</v>
      </c>
      <c r="L331" s="73">
        <f t="shared" si="77"/>
        <v>663716</v>
      </c>
      <c r="M331" s="73">
        <f t="shared" si="77"/>
        <v>672868</v>
      </c>
      <c r="N331" s="73">
        <f t="shared" si="77"/>
        <v>887234</v>
      </c>
    </row>
    <row r="332" spans="2:14" x14ac:dyDescent="0.2">
      <c r="B332" s="67"/>
      <c r="C332" s="66"/>
      <c r="D332" s="66"/>
      <c r="E332" s="66"/>
      <c r="F332" s="213" t="s">
        <v>165</v>
      </c>
      <c r="G332" s="162">
        <v>594914</v>
      </c>
      <c r="H332" s="162">
        <v>664440</v>
      </c>
      <c r="I332" s="64">
        <v>698255</v>
      </c>
      <c r="J332" s="64">
        <v>625237</v>
      </c>
      <c r="K332" s="64">
        <v>578798.98</v>
      </c>
      <c r="L332" s="64">
        <v>662716</v>
      </c>
      <c r="M332" s="64">
        <v>672868</v>
      </c>
      <c r="N332" s="64">
        <v>886234</v>
      </c>
    </row>
    <row r="333" spans="2:14" x14ac:dyDescent="0.2">
      <c r="B333" s="67"/>
      <c r="C333" s="66"/>
      <c r="D333" s="66"/>
      <c r="E333" s="66"/>
      <c r="F333" s="213" t="s">
        <v>190</v>
      </c>
      <c r="G333" s="162">
        <v>34569</v>
      </c>
      <c r="H333" s="162">
        <v>239</v>
      </c>
      <c r="I333" s="64">
        <v>1420</v>
      </c>
      <c r="J333" s="64">
        <v>0</v>
      </c>
      <c r="K333" s="64">
        <v>0</v>
      </c>
      <c r="L333" s="64">
        <v>1000</v>
      </c>
      <c r="M333" s="64">
        <v>0</v>
      </c>
      <c r="N333" s="64">
        <v>1000</v>
      </c>
    </row>
    <row r="334" spans="2:14" x14ac:dyDescent="0.2">
      <c r="B334" s="67"/>
      <c r="C334" s="66"/>
      <c r="D334" s="66"/>
      <c r="E334" s="66"/>
      <c r="F334" s="213" t="s">
        <v>178</v>
      </c>
      <c r="G334" s="162">
        <v>155</v>
      </c>
      <c r="H334" s="162">
        <v>0</v>
      </c>
      <c r="I334" s="64">
        <v>0</v>
      </c>
      <c r="J334" s="64">
        <v>0</v>
      </c>
      <c r="K334" s="64">
        <v>0</v>
      </c>
      <c r="L334" s="64">
        <v>0</v>
      </c>
      <c r="M334" s="64">
        <v>0</v>
      </c>
      <c r="N334" s="64">
        <v>0</v>
      </c>
    </row>
    <row r="335" spans="2:14" x14ac:dyDescent="0.2">
      <c r="B335" s="67"/>
      <c r="C335" s="66"/>
      <c r="D335" s="66"/>
      <c r="E335" s="235" t="s">
        <v>175</v>
      </c>
      <c r="F335" s="235"/>
      <c r="G335" s="74">
        <f t="shared" ref="G335:N335" si="78">SUM(G336:G339)</f>
        <v>211141</v>
      </c>
      <c r="H335" s="74">
        <f>SUM(H336:H339)</f>
        <v>203711</v>
      </c>
      <c r="I335" s="74">
        <f t="shared" si="78"/>
        <v>16827</v>
      </c>
      <c r="J335" s="74">
        <f t="shared" si="78"/>
        <v>11995</v>
      </c>
      <c r="K335" s="74">
        <f t="shared" si="78"/>
        <v>8385.11</v>
      </c>
      <c r="L335" s="74">
        <f t="shared" si="78"/>
        <v>12145</v>
      </c>
      <c r="M335" s="74">
        <f t="shared" si="78"/>
        <v>10683</v>
      </c>
      <c r="N335" s="74">
        <f t="shared" si="78"/>
        <v>15480</v>
      </c>
    </row>
    <row r="336" spans="2:14" x14ac:dyDescent="0.2">
      <c r="B336" s="67"/>
      <c r="C336" s="66"/>
      <c r="D336" s="66"/>
      <c r="E336" s="66"/>
      <c r="F336" s="213" t="s">
        <v>170</v>
      </c>
      <c r="G336" s="162">
        <v>6130</v>
      </c>
      <c r="H336" s="162">
        <v>4296</v>
      </c>
      <c r="I336" s="64">
        <v>6434</v>
      </c>
      <c r="J336" s="64">
        <v>5418</v>
      </c>
      <c r="K336" s="64">
        <f>5497.17+122.89</f>
        <v>5620.06</v>
      </c>
      <c r="L336" s="64">
        <v>6250</v>
      </c>
      <c r="M336" s="64">
        <v>6083</v>
      </c>
      <c r="N336" s="64">
        <v>9510</v>
      </c>
    </row>
    <row r="337" spans="2:14" x14ac:dyDescent="0.2">
      <c r="B337" s="67"/>
      <c r="C337" s="66"/>
      <c r="D337" s="66"/>
      <c r="E337" s="66"/>
      <c r="F337" s="213" t="s">
        <v>171</v>
      </c>
      <c r="G337" s="162">
        <v>0</v>
      </c>
      <c r="H337" s="162">
        <v>12</v>
      </c>
      <c r="I337" s="64">
        <v>525</v>
      </c>
      <c r="J337" s="64">
        <v>355</v>
      </c>
      <c r="K337" s="64">
        <v>265</v>
      </c>
      <c r="L337" s="64">
        <v>400</v>
      </c>
      <c r="M337" s="64">
        <v>300</v>
      </c>
      <c r="N337" s="64">
        <v>400</v>
      </c>
    </row>
    <row r="338" spans="2:14" x14ac:dyDescent="0.2">
      <c r="B338" s="67"/>
      <c r="C338" s="66"/>
      <c r="D338" s="66"/>
      <c r="E338" s="66"/>
      <c r="F338" s="213" t="s">
        <v>172</v>
      </c>
      <c r="G338" s="162">
        <v>203070</v>
      </c>
      <c r="H338" s="162">
        <v>194506</v>
      </c>
      <c r="I338" s="64">
        <v>0</v>
      </c>
      <c r="J338" s="64">
        <v>0</v>
      </c>
      <c r="K338" s="64">
        <v>0</v>
      </c>
      <c r="L338" s="64">
        <v>0</v>
      </c>
      <c r="M338" s="64">
        <v>0</v>
      </c>
      <c r="N338" s="64">
        <v>0</v>
      </c>
    </row>
    <row r="339" spans="2:14" x14ac:dyDescent="0.2">
      <c r="B339" s="67"/>
      <c r="C339" s="66"/>
      <c r="D339" s="66"/>
      <c r="E339" s="66"/>
      <c r="F339" s="213" t="s">
        <v>173</v>
      </c>
      <c r="G339" s="162">
        <v>1941</v>
      </c>
      <c r="H339" s="162">
        <v>4897</v>
      </c>
      <c r="I339" s="64">
        <v>9868</v>
      </c>
      <c r="J339" s="64">
        <v>6222</v>
      </c>
      <c r="K339" s="64">
        <f>945.05+1555</f>
        <v>2500.0500000000002</v>
      </c>
      <c r="L339" s="64">
        <v>5495</v>
      </c>
      <c r="M339" s="64">
        <v>4300</v>
      </c>
      <c r="N339" s="64">
        <v>5570</v>
      </c>
    </row>
    <row r="340" spans="2:14" x14ac:dyDescent="0.2">
      <c r="B340" s="67"/>
      <c r="C340" s="66"/>
      <c r="D340" s="233" t="s">
        <v>209</v>
      </c>
      <c r="E340" s="234"/>
      <c r="F340" s="234"/>
      <c r="G340" s="77">
        <f t="shared" ref="G340:N340" si="79">G341+G346+G348</f>
        <v>552042</v>
      </c>
      <c r="H340" s="77">
        <f t="shared" si="79"/>
        <v>46958</v>
      </c>
      <c r="I340" s="77">
        <f t="shared" si="79"/>
        <v>97634</v>
      </c>
      <c r="J340" s="77">
        <f t="shared" si="79"/>
        <v>253459</v>
      </c>
      <c r="K340" s="77">
        <f t="shared" si="79"/>
        <v>509449.47</v>
      </c>
      <c r="L340" s="77">
        <f t="shared" si="79"/>
        <v>769271</v>
      </c>
      <c r="M340" s="77">
        <f t="shared" si="79"/>
        <v>717177</v>
      </c>
      <c r="N340" s="77">
        <f t="shared" si="79"/>
        <v>1066447</v>
      </c>
    </row>
    <row r="341" spans="2:14" x14ac:dyDescent="0.2">
      <c r="B341" s="67"/>
      <c r="C341" s="66"/>
      <c r="D341" s="66"/>
      <c r="E341" s="232" t="s">
        <v>164</v>
      </c>
      <c r="F341" s="232"/>
      <c r="G341" s="73">
        <f>SUM(G342:G345)</f>
        <v>318515</v>
      </c>
      <c r="H341" s="73">
        <f t="shared" ref="H341:N341" si="80">SUM(H342:H345)</f>
        <v>17486</v>
      </c>
      <c r="I341" s="73">
        <f t="shared" si="80"/>
        <v>63593</v>
      </c>
      <c r="J341" s="73">
        <f t="shared" si="80"/>
        <v>203576</v>
      </c>
      <c r="K341" s="73">
        <f t="shared" si="80"/>
        <v>454883.68</v>
      </c>
      <c r="L341" s="73">
        <f t="shared" si="80"/>
        <v>696019</v>
      </c>
      <c r="M341" s="73">
        <f t="shared" si="80"/>
        <v>653911</v>
      </c>
      <c r="N341" s="73">
        <f t="shared" si="80"/>
        <v>989144</v>
      </c>
    </row>
    <row r="342" spans="2:14" x14ac:dyDescent="0.2">
      <c r="B342" s="67"/>
      <c r="C342" s="66"/>
      <c r="D342" s="66"/>
      <c r="E342" s="66"/>
      <c r="F342" s="213" t="s">
        <v>165</v>
      </c>
      <c r="G342" s="162">
        <v>274708</v>
      </c>
      <c r="H342" s="162">
        <v>0</v>
      </c>
      <c r="I342" s="64">
        <v>7424</v>
      </c>
      <c r="J342" s="64">
        <v>142423</v>
      </c>
      <c r="K342" s="64">
        <f>354181.93</f>
        <v>354181.93</v>
      </c>
      <c r="L342" s="64">
        <v>546019</v>
      </c>
      <c r="M342" s="64">
        <v>503911</v>
      </c>
      <c r="N342" s="64">
        <v>689144</v>
      </c>
    </row>
    <row r="343" spans="2:14" x14ac:dyDescent="0.2">
      <c r="B343" s="67"/>
      <c r="C343" s="66"/>
      <c r="D343" s="66"/>
      <c r="E343" s="66"/>
      <c r="F343" s="213" t="s">
        <v>166</v>
      </c>
      <c r="G343" s="162">
        <v>43603</v>
      </c>
      <c r="H343" s="162">
        <v>17486</v>
      </c>
      <c r="I343" s="64">
        <v>56169</v>
      </c>
      <c r="J343" s="64">
        <v>61153</v>
      </c>
      <c r="K343" s="64">
        <f>100701.75</f>
        <v>100701.75</v>
      </c>
      <c r="L343" s="64">
        <v>150000</v>
      </c>
      <c r="M343" s="64">
        <v>150000</v>
      </c>
      <c r="N343" s="64">
        <v>300000</v>
      </c>
    </row>
    <row r="344" spans="2:14" x14ac:dyDescent="0.2">
      <c r="B344" s="67"/>
      <c r="C344" s="66"/>
      <c r="D344" s="66"/>
      <c r="E344" s="66"/>
      <c r="F344" s="213" t="s">
        <v>190</v>
      </c>
      <c r="G344" s="162">
        <v>193</v>
      </c>
      <c r="H344" s="162">
        <v>0</v>
      </c>
      <c r="I344" s="162">
        <v>0</v>
      </c>
      <c r="J344" s="162">
        <v>0</v>
      </c>
      <c r="K344" s="162">
        <v>0</v>
      </c>
      <c r="L344" s="162">
        <v>0</v>
      </c>
      <c r="M344" s="64">
        <v>0</v>
      </c>
      <c r="N344" s="64">
        <v>0</v>
      </c>
    </row>
    <row r="345" spans="2:14" x14ac:dyDescent="0.2">
      <c r="B345" s="67"/>
      <c r="C345" s="66"/>
      <c r="D345" s="66"/>
      <c r="E345" s="66"/>
      <c r="F345" s="213" t="s">
        <v>178</v>
      </c>
      <c r="G345" s="162">
        <v>11</v>
      </c>
      <c r="H345" s="162">
        <v>0</v>
      </c>
      <c r="I345" s="162">
        <v>0</v>
      </c>
      <c r="J345" s="162">
        <v>0</v>
      </c>
      <c r="K345" s="162">
        <v>0</v>
      </c>
      <c r="L345" s="162">
        <v>0</v>
      </c>
      <c r="M345" s="64">
        <v>0</v>
      </c>
      <c r="N345" s="64">
        <v>0</v>
      </c>
    </row>
    <row r="346" spans="2:14" x14ac:dyDescent="0.2">
      <c r="B346" s="67"/>
      <c r="C346" s="66"/>
      <c r="D346" s="66"/>
      <c r="E346" s="235" t="s">
        <v>194</v>
      </c>
      <c r="F346" s="235"/>
      <c r="G346" s="78">
        <f t="shared" ref="G346:N346" si="81">SUM(G347:G347)</f>
        <v>0</v>
      </c>
      <c r="H346" s="78">
        <f t="shared" si="81"/>
        <v>0</v>
      </c>
      <c r="I346" s="78">
        <f t="shared" si="81"/>
        <v>0</v>
      </c>
      <c r="J346" s="78">
        <f t="shared" si="81"/>
        <v>3288</v>
      </c>
      <c r="K346" s="78">
        <f t="shared" si="81"/>
        <v>0</v>
      </c>
      <c r="L346" s="78">
        <f t="shared" si="81"/>
        <v>0</v>
      </c>
      <c r="M346" s="78">
        <f t="shared" si="81"/>
        <v>0</v>
      </c>
      <c r="N346" s="78">
        <f t="shared" si="81"/>
        <v>0</v>
      </c>
    </row>
    <row r="347" spans="2:14" x14ac:dyDescent="0.2">
      <c r="B347" s="67"/>
      <c r="C347" s="66"/>
      <c r="D347" s="66"/>
      <c r="E347" s="66"/>
      <c r="F347" s="210" t="s">
        <v>168</v>
      </c>
      <c r="G347" s="162">
        <v>0</v>
      </c>
      <c r="H347" s="162">
        <v>0</v>
      </c>
      <c r="I347" s="70">
        <v>0</v>
      </c>
      <c r="J347" s="70">
        <v>3288</v>
      </c>
      <c r="K347" s="70">
        <v>0</v>
      </c>
      <c r="L347" s="70">
        <v>0</v>
      </c>
      <c r="M347" s="70">
        <v>0</v>
      </c>
      <c r="N347" s="70">
        <v>0</v>
      </c>
    </row>
    <row r="348" spans="2:14" x14ac:dyDescent="0.2">
      <c r="B348" s="67"/>
      <c r="C348" s="66"/>
      <c r="D348" s="66"/>
      <c r="E348" s="238" t="s">
        <v>195</v>
      </c>
      <c r="F348" s="238"/>
      <c r="G348" s="65">
        <f>SUM(G349:G354)</f>
        <v>233527</v>
      </c>
      <c r="H348" s="65">
        <f t="shared" ref="H348:N348" si="82">SUM(H349:H354)</f>
        <v>29472</v>
      </c>
      <c r="I348" s="65">
        <f t="shared" si="82"/>
        <v>34041</v>
      </c>
      <c r="J348" s="65">
        <f t="shared" si="82"/>
        <v>46595</v>
      </c>
      <c r="K348" s="65">
        <f t="shared" si="82"/>
        <v>54565.79</v>
      </c>
      <c r="L348" s="65">
        <f t="shared" si="82"/>
        <v>73252</v>
      </c>
      <c r="M348" s="65">
        <f t="shared" si="82"/>
        <v>63266</v>
      </c>
      <c r="N348" s="65">
        <f t="shared" si="82"/>
        <v>77303</v>
      </c>
    </row>
    <row r="349" spans="2:14" x14ac:dyDescent="0.2">
      <c r="B349" s="67"/>
      <c r="C349" s="66"/>
      <c r="D349" s="66"/>
      <c r="E349" s="66"/>
      <c r="F349" s="213" t="s">
        <v>170</v>
      </c>
      <c r="G349" s="162">
        <v>4973</v>
      </c>
      <c r="H349" s="162">
        <v>747</v>
      </c>
      <c r="I349" s="70">
        <v>1342</v>
      </c>
      <c r="J349" s="70">
        <v>9729</v>
      </c>
      <c r="K349" s="70">
        <f>2058.57+2323.01</f>
        <v>4381.58</v>
      </c>
      <c r="L349" s="70">
        <v>24500</v>
      </c>
      <c r="M349" s="70">
        <v>10300</v>
      </c>
      <c r="N349" s="70">
        <v>12500</v>
      </c>
    </row>
    <row r="350" spans="2:14" x14ac:dyDescent="0.2">
      <c r="B350" s="67"/>
      <c r="C350" s="66"/>
      <c r="D350" s="66"/>
      <c r="E350" s="66"/>
      <c r="F350" s="213" t="s">
        <v>171</v>
      </c>
      <c r="G350" s="162">
        <v>21638</v>
      </c>
      <c r="H350" s="162">
        <v>0</v>
      </c>
      <c r="I350" s="70">
        <v>0</v>
      </c>
      <c r="J350" s="70">
        <v>0</v>
      </c>
      <c r="K350" s="70">
        <v>0</v>
      </c>
      <c r="L350" s="70">
        <v>0</v>
      </c>
      <c r="M350" s="70">
        <v>0</v>
      </c>
      <c r="N350" s="70">
        <v>0</v>
      </c>
    </row>
    <row r="351" spans="2:14" x14ac:dyDescent="0.2">
      <c r="B351" s="67"/>
      <c r="C351" s="66"/>
      <c r="D351" s="66"/>
      <c r="E351" s="66"/>
      <c r="F351" s="213" t="s">
        <v>172</v>
      </c>
      <c r="G351" s="162">
        <v>206539</v>
      </c>
      <c r="H351" s="162">
        <v>28725</v>
      </c>
      <c r="I351" s="64">
        <v>32699</v>
      </c>
      <c r="J351" s="64">
        <v>0</v>
      </c>
      <c r="K351" s="64">
        <v>0</v>
      </c>
      <c r="L351" s="64">
        <v>250</v>
      </c>
      <c r="M351" s="64">
        <v>125</v>
      </c>
      <c r="N351" s="64">
        <v>250</v>
      </c>
    </row>
    <row r="352" spans="2:14" x14ac:dyDescent="0.2">
      <c r="B352" s="67"/>
      <c r="C352" s="66"/>
      <c r="D352" s="66"/>
      <c r="E352" s="66"/>
      <c r="F352" s="213" t="s">
        <v>173</v>
      </c>
      <c r="G352" s="162">
        <v>-45</v>
      </c>
      <c r="H352" s="162">
        <v>0</v>
      </c>
      <c r="I352" s="64">
        <v>0</v>
      </c>
      <c r="J352" s="64">
        <v>0</v>
      </c>
      <c r="K352" s="64">
        <v>0</v>
      </c>
      <c r="L352" s="64">
        <v>180</v>
      </c>
      <c r="M352" s="64">
        <v>180</v>
      </c>
      <c r="N352" s="64">
        <v>10000</v>
      </c>
    </row>
    <row r="353" spans="2:14" x14ac:dyDescent="0.2">
      <c r="B353" s="67"/>
      <c r="C353" s="66"/>
      <c r="D353" s="66"/>
      <c r="E353" s="66"/>
      <c r="F353" s="213" t="s">
        <v>181</v>
      </c>
      <c r="G353" s="162">
        <v>0</v>
      </c>
      <c r="H353" s="162">
        <v>0</v>
      </c>
      <c r="I353" s="64">
        <v>0</v>
      </c>
      <c r="J353" s="64">
        <v>36866</v>
      </c>
      <c r="K353" s="64">
        <v>50184.21</v>
      </c>
      <c r="L353" s="64">
        <v>48322</v>
      </c>
      <c r="M353" s="64">
        <v>52661</v>
      </c>
      <c r="N353" s="64">
        <v>54553</v>
      </c>
    </row>
    <row r="354" spans="2:14" x14ac:dyDescent="0.2">
      <c r="B354" s="67"/>
      <c r="C354" s="66"/>
      <c r="D354" s="66"/>
      <c r="E354" s="66"/>
      <c r="F354" s="213" t="s">
        <v>207</v>
      </c>
      <c r="G354" s="162">
        <v>422</v>
      </c>
      <c r="H354" s="162">
        <v>0</v>
      </c>
      <c r="I354" s="64">
        <v>0</v>
      </c>
      <c r="J354" s="64">
        <v>0</v>
      </c>
      <c r="K354" s="64">
        <v>0</v>
      </c>
      <c r="L354" s="64">
        <v>0</v>
      </c>
      <c r="M354" s="64">
        <v>0</v>
      </c>
      <c r="N354" s="64">
        <v>0</v>
      </c>
    </row>
    <row r="355" spans="2:14" x14ac:dyDescent="0.2">
      <c r="B355" s="67"/>
      <c r="C355" s="66"/>
      <c r="D355" s="235" t="s">
        <v>210</v>
      </c>
      <c r="E355" s="237"/>
      <c r="F355" s="237"/>
      <c r="G355" s="77">
        <f t="shared" ref="G355:N355" si="83">G356+G360</f>
        <v>0</v>
      </c>
      <c r="H355" s="77">
        <f t="shared" si="83"/>
        <v>204930</v>
      </c>
      <c r="I355" s="77">
        <f t="shared" si="83"/>
        <v>778647</v>
      </c>
      <c r="J355" s="77">
        <f t="shared" si="83"/>
        <v>1007842</v>
      </c>
      <c r="K355" s="77">
        <f t="shared" si="83"/>
        <v>1397861.9800000002</v>
      </c>
      <c r="L355" s="77">
        <f t="shared" si="83"/>
        <v>1495157</v>
      </c>
      <c r="M355" s="77">
        <f t="shared" si="83"/>
        <v>1522976</v>
      </c>
      <c r="N355" s="77">
        <f t="shared" si="83"/>
        <v>1526140</v>
      </c>
    </row>
    <row r="356" spans="2:14" x14ac:dyDescent="0.2">
      <c r="B356" s="67"/>
      <c r="C356" s="66"/>
      <c r="D356" s="66"/>
      <c r="E356" s="232" t="s">
        <v>164</v>
      </c>
      <c r="F356" s="232"/>
      <c r="G356" s="73">
        <f t="shared" ref="G356:N356" si="84">SUM(G357:G359)</f>
        <v>0</v>
      </c>
      <c r="H356" s="73">
        <f t="shared" si="84"/>
        <v>204930</v>
      </c>
      <c r="I356" s="73">
        <f t="shared" si="84"/>
        <v>569901</v>
      </c>
      <c r="J356" s="73">
        <f t="shared" si="84"/>
        <v>863511</v>
      </c>
      <c r="K356" s="73">
        <f t="shared" si="84"/>
        <v>1254064.6700000002</v>
      </c>
      <c r="L356" s="73">
        <f t="shared" si="84"/>
        <v>1367357</v>
      </c>
      <c r="M356" s="73">
        <f t="shared" si="84"/>
        <v>1388470</v>
      </c>
      <c r="N356" s="73">
        <f t="shared" si="84"/>
        <v>1392540</v>
      </c>
    </row>
    <row r="357" spans="2:14" x14ac:dyDescent="0.2">
      <c r="B357" s="67"/>
      <c r="C357" s="66"/>
      <c r="D357" s="66"/>
      <c r="E357" s="66"/>
      <c r="F357" s="213" t="s">
        <v>165</v>
      </c>
      <c r="G357" s="162">
        <v>0</v>
      </c>
      <c r="H357" s="162">
        <v>204930</v>
      </c>
      <c r="I357" s="64">
        <v>550208</v>
      </c>
      <c r="J357" s="64">
        <v>856678</v>
      </c>
      <c r="K357" s="64">
        <v>1248587.8600000001</v>
      </c>
      <c r="L357" s="64">
        <v>1358357</v>
      </c>
      <c r="M357" s="64">
        <v>1380570</v>
      </c>
      <c r="N357" s="64">
        <v>1391540</v>
      </c>
    </row>
    <row r="358" spans="2:14" x14ac:dyDescent="0.2">
      <c r="B358" s="67"/>
      <c r="C358" s="66"/>
      <c r="D358" s="66"/>
      <c r="E358" s="66"/>
      <c r="F358" s="213" t="s">
        <v>190</v>
      </c>
      <c r="G358" s="162">
        <v>0</v>
      </c>
      <c r="H358" s="162">
        <v>0</v>
      </c>
      <c r="I358" s="64">
        <v>5681</v>
      </c>
      <c r="J358" s="64">
        <v>1733</v>
      </c>
      <c r="K358" s="64">
        <v>149.79</v>
      </c>
      <c r="L358" s="64">
        <v>1500</v>
      </c>
      <c r="M358" s="64">
        <v>500</v>
      </c>
      <c r="N358" s="64">
        <v>1000</v>
      </c>
    </row>
    <row r="359" spans="2:14" x14ac:dyDescent="0.2">
      <c r="B359" s="67"/>
      <c r="C359" s="66"/>
      <c r="D359" s="66"/>
      <c r="E359" s="66"/>
      <c r="F359" s="213" t="s">
        <v>178</v>
      </c>
      <c r="G359" s="162">
        <v>0</v>
      </c>
      <c r="H359" s="162">
        <v>0</v>
      </c>
      <c r="I359" s="64">
        <v>14012</v>
      </c>
      <c r="J359" s="64">
        <v>5100</v>
      </c>
      <c r="K359" s="64">
        <v>5327.02</v>
      </c>
      <c r="L359" s="64">
        <v>7500</v>
      </c>
      <c r="M359" s="64">
        <v>7400</v>
      </c>
      <c r="N359" s="64">
        <v>0</v>
      </c>
    </row>
    <row r="360" spans="2:14" x14ac:dyDescent="0.2">
      <c r="B360" s="67"/>
      <c r="C360" s="66"/>
      <c r="D360" s="66"/>
      <c r="E360" s="235" t="s">
        <v>175</v>
      </c>
      <c r="F360" s="235"/>
      <c r="G360" s="74">
        <f t="shared" ref="G360:N360" si="85">SUM(G361:G364)</f>
        <v>0</v>
      </c>
      <c r="H360" s="74">
        <f t="shared" si="85"/>
        <v>0</v>
      </c>
      <c r="I360" s="74">
        <f t="shared" si="85"/>
        <v>208746</v>
      </c>
      <c r="J360" s="74">
        <f t="shared" si="85"/>
        <v>144331</v>
      </c>
      <c r="K360" s="74">
        <f t="shared" si="85"/>
        <v>143797.31</v>
      </c>
      <c r="L360" s="74">
        <f t="shared" si="85"/>
        <v>127800</v>
      </c>
      <c r="M360" s="74">
        <f t="shared" si="85"/>
        <v>134506</v>
      </c>
      <c r="N360" s="74">
        <f t="shared" si="85"/>
        <v>133600</v>
      </c>
    </row>
    <row r="361" spans="2:14" x14ac:dyDescent="0.2">
      <c r="B361" s="67"/>
      <c r="C361" s="66"/>
      <c r="D361" s="66"/>
      <c r="E361" s="66"/>
      <c r="F361" s="213" t="s">
        <v>170</v>
      </c>
      <c r="G361" s="162">
        <v>0</v>
      </c>
      <c r="H361" s="162">
        <v>0</v>
      </c>
      <c r="I361" s="64">
        <v>0</v>
      </c>
      <c r="J361" s="64">
        <v>921</v>
      </c>
      <c r="K361" s="64">
        <v>1000</v>
      </c>
      <c r="L361" s="64">
        <v>2000</v>
      </c>
      <c r="M361" s="64">
        <v>750</v>
      </c>
      <c r="N361" s="64">
        <v>0</v>
      </c>
    </row>
    <row r="362" spans="2:14" x14ac:dyDescent="0.2">
      <c r="B362" s="67"/>
      <c r="C362" s="66"/>
      <c r="D362" s="66"/>
      <c r="E362" s="66"/>
      <c r="F362" s="213" t="s">
        <v>172</v>
      </c>
      <c r="G362" s="162">
        <v>0</v>
      </c>
      <c r="H362" s="162">
        <v>0</v>
      </c>
      <c r="I362" s="64">
        <v>207057</v>
      </c>
      <c r="J362" s="64">
        <v>0</v>
      </c>
      <c r="K362" s="64">
        <v>0</v>
      </c>
      <c r="L362" s="64">
        <v>0</v>
      </c>
      <c r="M362" s="64">
        <v>0</v>
      </c>
      <c r="N362" s="64">
        <v>0</v>
      </c>
    </row>
    <row r="363" spans="2:14" x14ac:dyDescent="0.2">
      <c r="B363" s="67"/>
      <c r="C363" s="66"/>
      <c r="D363" s="66"/>
      <c r="E363" s="66"/>
      <c r="F363" s="213" t="s">
        <v>173</v>
      </c>
      <c r="G363" s="162">
        <v>0</v>
      </c>
      <c r="H363" s="162">
        <v>0</v>
      </c>
      <c r="I363" s="64">
        <v>1689</v>
      </c>
      <c r="J363" s="64">
        <v>496</v>
      </c>
      <c r="K363" s="64">
        <v>0</v>
      </c>
      <c r="L363" s="64">
        <v>1000</v>
      </c>
      <c r="M363" s="64">
        <v>600</v>
      </c>
      <c r="N363" s="64">
        <v>600</v>
      </c>
    </row>
    <row r="364" spans="2:14" x14ac:dyDescent="0.2">
      <c r="B364" s="67"/>
      <c r="C364" s="66"/>
      <c r="D364" s="66"/>
      <c r="E364" s="66"/>
      <c r="F364" s="213" t="s">
        <v>181</v>
      </c>
      <c r="G364" s="162">
        <v>0</v>
      </c>
      <c r="H364" s="162">
        <v>0</v>
      </c>
      <c r="I364" s="64">
        <v>0</v>
      </c>
      <c r="J364" s="64">
        <v>142914</v>
      </c>
      <c r="K364" s="64">
        <v>142797.31</v>
      </c>
      <c r="L364" s="64">
        <v>124800</v>
      </c>
      <c r="M364" s="64">
        <v>133156</v>
      </c>
      <c r="N364" s="64">
        <v>133000</v>
      </c>
    </row>
    <row r="365" spans="2:14" x14ac:dyDescent="0.2">
      <c r="B365" s="67"/>
      <c r="C365" s="236" t="s">
        <v>211</v>
      </c>
      <c r="D365" s="236"/>
      <c r="E365" s="236"/>
      <c r="F365" s="236"/>
      <c r="G365" s="71">
        <f t="shared" ref="G365:N365" si="86">G366</f>
        <v>197093</v>
      </c>
      <c r="H365" s="71">
        <f t="shared" si="86"/>
        <v>174555</v>
      </c>
      <c r="I365" s="71">
        <f t="shared" si="86"/>
        <v>310831</v>
      </c>
      <c r="J365" s="71">
        <f t="shared" si="86"/>
        <v>138912</v>
      </c>
      <c r="K365" s="71">
        <f t="shared" si="86"/>
        <v>337157.39</v>
      </c>
      <c r="L365" s="71">
        <f t="shared" si="86"/>
        <v>342899</v>
      </c>
      <c r="M365" s="71">
        <f t="shared" si="86"/>
        <v>307071</v>
      </c>
      <c r="N365" s="71">
        <f t="shared" si="86"/>
        <v>348866</v>
      </c>
    </row>
    <row r="366" spans="2:14" x14ac:dyDescent="0.2">
      <c r="B366" s="67"/>
      <c r="C366" s="66"/>
      <c r="D366" s="235" t="s">
        <v>212</v>
      </c>
      <c r="E366" s="237"/>
      <c r="F366" s="237"/>
      <c r="G366" s="77">
        <f t="shared" ref="G366:N366" si="87">G367+G370</f>
        <v>197093</v>
      </c>
      <c r="H366" s="77">
        <f t="shared" si="87"/>
        <v>174555</v>
      </c>
      <c r="I366" s="77">
        <f t="shared" si="87"/>
        <v>310831</v>
      </c>
      <c r="J366" s="77">
        <f t="shared" si="87"/>
        <v>138912</v>
      </c>
      <c r="K366" s="77">
        <f t="shared" si="87"/>
        <v>337157.39</v>
      </c>
      <c r="L366" s="77">
        <f t="shared" si="87"/>
        <v>342899</v>
      </c>
      <c r="M366" s="77">
        <f t="shared" si="87"/>
        <v>307071</v>
      </c>
      <c r="N366" s="77">
        <f t="shared" si="87"/>
        <v>348866</v>
      </c>
    </row>
    <row r="367" spans="2:14" x14ac:dyDescent="0.2">
      <c r="B367" s="67"/>
      <c r="C367" s="66"/>
      <c r="D367" s="66"/>
      <c r="E367" s="232" t="s">
        <v>164</v>
      </c>
      <c r="F367" s="232"/>
      <c r="G367" s="73">
        <f t="shared" ref="G367:N367" si="88">SUM(G368:G369)</f>
        <v>195204</v>
      </c>
      <c r="H367" s="73">
        <f t="shared" si="88"/>
        <v>171810</v>
      </c>
      <c r="I367" s="73">
        <f t="shared" si="88"/>
        <v>229488</v>
      </c>
      <c r="J367" s="73">
        <f t="shared" si="88"/>
        <v>134929</v>
      </c>
      <c r="K367" s="73">
        <f t="shared" si="88"/>
        <v>186114.28</v>
      </c>
      <c r="L367" s="73">
        <f t="shared" si="88"/>
        <v>293899</v>
      </c>
      <c r="M367" s="73">
        <f t="shared" si="88"/>
        <v>293851</v>
      </c>
      <c r="N367" s="73">
        <f t="shared" si="88"/>
        <v>299246</v>
      </c>
    </row>
    <row r="368" spans="2:14" x14ac:dyDescent="0.2">
      <c r="B368" s="67"/>
      <c r="C368" s="66"/>
      <c r="D368" s="66"/>
      <c r="E368" s="66"/>
      <c r="F368" s="213" t="s">
        <v>165</v>
      </c>
      <c r="G368" s="162">
        <v>191606</v>
      </c>
      <c r="H368" s="162">
        <v>171000</v>
      </c>
      <c r="I368" s="64">
        <v>191672</v>
      </c>
      <c r="J368" s="64">
        <v>124492</v>
      </c>
      <c r="K368" s="64">
        <v>185473.03</v>
      </c>
      <c r="L368" s="64">
        <v>263899</v>
      </c>
      <c r="M368" s="64">
        <v>265851</v>
      </c>
      <c r="N368" s="64">
        <v>269246</v>
      </c>
    </row>
    <row r="369" spans="2:14" x14ac:dyDescent="0.2">
      <c r="B369" s="67"/>
      <c r="C369" s="66"/>
      <c r="D369" s="66"/>
      <c r="E369" s="66"/>
      <c r="F369" s="213" t="s">
        <v>166</v>
      </c>
      <c r="G369" s="162">
        <v>3598</v>
      </c>
      <c r="H369" s="162">
        <v>810</v>
      </c>
      <c r="I369" s="64">
        <v>37816</v>
      </c>
      <c r="J369" s="64">
        <v>10437</v>
      </c>
      <c r="K369" s="64">
        <v>641.25</v>
      </c>
      <c r="L369" s="64">
        <v>30000</v>
      </c>
      <c r="M369" s="64">
        <v>28000</v>
      </c>
      <c r="N369" s="64">
        <v>30000</v>
      </c>
    </row>
    <row r="370" spans="2:14" x14ac:dyDescent="0.2">
      <c r="B370" s="67"/>
      <c r="C370" s="66"/>
      <c r="D370" s="66"/>
      <c r="E370" s="235" t="s">
        <v>175</v>
      </c>
      <c r="F370" s="235"/>
      <c r="G370" s="74">
        <f t="shared" ref="G370:N370" si="89">SUM(G371:G374)</f>
        <v>1889</v>
      </c>
      <c r="H370" s="74">
        <f t="shared" si="89"/>
        <v>2745</v>
      </c>
      <c r="I370" s="74">
        <f t="shared" si="89"/>
        <v>81343</v>
      </c>
      <c r="J370" s="74">
        <f t="shared" si="89"/>
        <v>3983</v>
      </c>
      <c r="K370" s="74">
        <f t="shared" si="89"/>
        <v>151043.10999999999</v>
      </c>
      <c r="L370" s="74">
        <f t="shared" si="89"/>
        <v>49000</v>
      </c>
      <c r="M370" s="74">
        <f t="shared" si="89"/>
        <v>13220</v>
      </c>
      <c r="N370" s="74">
        <f t="shared" si="89"/>
        <v>49620</v>
      </c>
    </row>
    <row r="371" spans="2:14" x14ac:dyDescent="0.2">
      <c r="B371" s="67"/>
      <c r="C371" s="66"/>
      <c r="D371" s="66"/>
      <c r="E371" s="66"/>
      <c r="F371" s="213" t="s">
        <v>170</v>
      </c>
      <c r="G371" s="162">
        <v>1799</v>
      </c>
      <c r="H371" s="162">
        <v>2580</v>
      </c>
      <c r="I371" s="64">
        <v>3849</v>
      </c>
      <c r="J371" s="64">
        <v>3532</v>
      </c>
      <c r="K371" s="64">
        <f>2348.19+1499.27</f>
        <v>3847.46</v>
      </c>
      <c r="L371" s="64">
        <v>8500</v>
      </c>
      <c r="M371" s="64">
        <v>4200</v>
      </c>
      <c r="N371" s="64">
        <v>8500</v>
      </c>
    </row>
    <row r="372" spans="2:14" x14ac:dyDescent="0.2">
      <c r="B372" s="67"/>
      <c r="C372" s="66"/>
      <c r="D372" s="66"/>
      <c r="E372" s="66"/>
      <c r="F372" s="213" t="s">
        <v>171</v>
      </c>
      <c r="G372" s="162">
        <v>0</v>
      </c>
      <c r="H372" s="162">
        <v>0</v>
      </c>
      <c r="I372" s="64">
        <v>15</v>
      </c>
      <c r="J372" s="64">
        <v>107</v>
      </c>
      <c r="K372" s="64">
        <f>146177.36+82.5</f>
        <v>146259.85999999999</v>
      </c>
      <c r="L372" s="64">
        <v>4500</v>
      </c>
      <c r="M372" s="64">
        <v>6620</v>
      </c>
      <c r="N372" s="64">
        <v>5120</v>
      </c>
    </row>
    <row r="373" spans="2:14" x14ac:dyDescent="0.2">
      <c r="B373" s="67"/>
      <c r="C373" s="66"/>
      <c r="D373" s="66"/>
      <c r="E373" s="66"/>
      <c r="F373" s="213" t="s">
        <v>172</v>
      </c>
      <c r="G373" s="162">
        <v>0</v>
      </c>
      <c r="H373" s="162">
        <v>0</v>
      </c>
      <c r="I373" s="64">
        <v>77479</v>
      </c>
      <c r="J373" s="64">
        <v>344</v>
      </c>
      <c r="K373" s="64">
        <v>0</v>
      </c>
      <c r="L373" s="64">
        <v>25000</v>
      </c>
      <c r="M373" s="64">
        <v>1000</v>
      </c>
      <c r="N373" s="64">
        <v>25000</v>
      </c>
    </row>
    <row r="374" spans="2:14" x14ac:dyDescent="0.2">
      <c r="B374" s="67"/>
      <c r="C374" s="66"/>
      <c r="D374" s="66"/>
      <c r="E374" s="66"/>
      <c r="F374" s="213" t="s">
        <v>173</v>
      </c>
      <c r="G374" s="162">
        <v>90</v>
      </c>
      <c r="H374" s="162">
        <v>165</v>
      </c>
      <c r="I374" s="64">
        <v>0</v>
      </c>
      <c r="J374" s="64">
        <v>0</v>
      </c>
      <c r="K374" s="64">
        <f>935.79</f>
        <v>935.79</v>
      </c>
      <c r="L374" s="64">
        <v>11000</v>
      </c>
      <c r="M374" s="64">
        <v>1400</v>
      </c>
      <c r="N374" s="64">
        <v>11000</v>
      </c>
    </row>
    <row r="375" spans="2:14" x14ac:dyDescent="0.2">
      <c r="B375" s="67"/>
      <c r="C375" s="236" t="s">
        <v>213</v>
      </c>
      <c r="D375" s="236"/>
      <c r="E375" s="236"/>
      <c r="F375" s="236"/>
      <c r="G375" s="71">
        <f t="shared" ref="G375:N375" si="90">G376</f>
        <v>338800</v>
      </c>
      <c r="H375" s="71">
        <f t="shared" si="90"/>
        <v>365035</v>
      </c>
      <c r="I375" s="71">
        <f t="shared" si="90"/>
        <v>345271</v>
      </c>
      <c r="J375" s="71">
        <f t="shared" si="90"/>
        <v>339422</v>
      </c>
      <c r="K375" s="71">
        <f t="shared" si="90"/>
        <v>358919.9</v>
      </c>
      <c r="L375" s="71">
        <f t="shared" si="90"/>
        <v>399026</v>
      </c>
      <c r="M375" s="71">
        <f t="shared" si="90"/>
        <v>390579</v>
      </c>
      <c r="N375" s="71">
        <f t="shared" si="90"/>
        <v>408472</v>
      </c>
    </row>
    <row r="376" spans="2:14" x14ac:dyDescent="0.2">
      <c r="B376" s="67"/>
      <c r="C376" s="66"/>
      <c r="D376" s="233" t="s">
        <v>214</v>
      </c>
      <c r="E376" s="234"/>
      <c r="F376" s="234"/>
      <c r="G376" s="77">
        <f t="shared" ref="G376:N376" si="91">G377+G381+G383</f>
        <v>338800</v>
      </c>
      <c r="H376" s="77">
        <f t="shared" si="91"/>
        <v>365035</v>
      </c>
      <c r="I376" s="77">
        <f t="shared" si="91"/>
        <v>345271</v>
      </c>
      <c r="J376" s="77">
        <f t="shared" si="91"/>
        <v>339422</v>
      </c>
      <c r="K376" s="77">
        <f t="shared" si="91"/>
        <v>358919.9</v>
      </c>
      <c r="L376" s="77">
        <f t="shared" si="91"/>
        <v>399026</v>
      </c>
      <c r="M376" s="77">
        <f t="shared" si="91"/>
        <v>390579</v>
      </c>
      <c r="N376" s="77">
        <f t="shared" si="91"/>
        <v>408472</v>
      </c>
    </row>
    <row r="377" spans="2:14" x14ac:dyDescent="0.2">
      <c r="B377" s="67"/>
      <c r="C377" s="66"/>
      <c r="D377" s="66"/>
      <c r="E377" s="235" t="s">
        <v>197</v>
      </c>
      <c r="F377" s="235"/>
      <c r="G377" s="80">
        <f t="shared" ref="G377:N377" si="92">SUM(G378:G380)</f>
        <v>332892</v>
      </c>
      <c r="H377" s="80">
        <f t="shared" si="92"/>
        <v>359119</v>
      </c>
      <c r="I377" s="80">
        <f t="shared" si="92"/>
        <v>338698</v>
      </c>
      <c r="J377" s="80">
        <f t="shared" si="92"/>
        <v>328090</v>
      </c>
      <c r="K377" s="80">
        <f t="shared" si="92"/>
        <v>351953.25</v>
      </c>
      <c r="L377" s="80">
        <f t="shared" si="92"/>
        <v>382416</v>
      </c>
      <c r="M377" s="80">
        <f t="shared" si="92"/>
        <v>377419</v>
      </c>
      <c r="N377" s="80">
        <f t="shared" si="92"/>
        <v>381732</v>
      </c>
    </row>
    <row r="378" spans="2:14" x14ac:dyDescent="0.2">
      <c r="B378" s="67"/>
      <c r="C378" s="66"/>
      <c r="D378" s="66"/>
      <c r="E378" s="66"/>
      <c r="F378" s="82" t="s">
        <v>165</v>
      </c>
      <c r="G378" s="162">
        <v>317809</v>
      </c>
      <c r="H378" s="162">
        <v>329838</v>
      </c>
      <c r="I378" s="70">
        <v>322380</v>
      </c>
      <c r="J378" s="70">
        <v>332782</v>
      </c>
      <c r="K378" s="70">
        <v>335026.63</v>
      </c>
      <c r="L378" s="70">
        <v>362416</v>
      </c>
      <c r="M378" s="64">
        <v>357419</v>
      </c>
      <c r="N378" s="64">
        <v>361732</v>
      </c>
    </row>
    <row r="379" spans="2:14" x14ac:dyDescent="0.2">
      <c r="B379" s="67"/>
      <c r="C379" s="66"/>
      <c r="D379" s="66"/>
      <c r="E379" s="66"/>
      <c r="F379" s="213" t="s">
        <v>166</v>
      </c>
      <c r="G379" s="162">
        <v>15083</v>
      </c>
      <c r="H379" s="162">
        <v>29281</v>
      </c>
      <c r="I379" s="64">
        <v>16318</v>
      </c>
      <c r="J379" s="64">
        <v>13458</v>
      </c>
      <c r="K379" s="64">
        <v>16926.62</v>
      </c>
      <c r="L379" s="64">
        <v>20000</v>
      </c>
      <c r="M379" s="64">
        <v>20000</v>
      </c>
      <c r="N379" s="64">
        <v>20000</v>
      </c>
    </row>
    <row r="380" spans="2:14" x14ac:dyDescent="0.2">
      <c r="B380" s="67"/>
      <c r="C380" s="66"/>
      <c r="D380" s="66"/>
      <c r="E380" s="66"/>
      <c r="F380" s="213" t="s">
        <v>215</v>
      </c>
      <c r="G380" s="162">
        <v>0</v>
      </c>
      <c r="H380" s="162">
        <v>0</v>
      </c>
      <c r="I380" s="64">
        <v>0</v>
      </c>
      <c r="J380" s="64">
        <v>-18150</v>
      </c>
      <c r="K380" s="64">
        <v>0</v>
      </c>
      <c r="L380" s="64">
        <v>0</v>
      </c>
      <c r="M380" s="64">
        <v>0</v>
      </c>
      <c r="N380" s="64">
        <v>0</v>
      </c>
    </row>
    <row r="381" spans="2:14" x14ac:dyDescent="0.2">
      <c r="B381" s="67"/>
      <c r="C381" s="66"/>
      <c r="D381" s="66"/>
      <c r="E381" s="235" t="s">
        <v>194</v>
      </c>
      <c r="F381" s="235"/>
      <c r="G381" s="77">
        <f t="shared" ref="G381:N381" si="93">SUM(G382:G382)</f>
        <v>0</v>
      </c>
      <c r="H381" s="77">
        <f t="shared" si="93"/>
        <v>0</v>
      </c>
      <c r="I381" s="77">
        <f t="shared" si="93"/>
        <v>0</v>
      </c>
      <c r="J381" s="77">
        <f t="shared" si="93"/>
        <v>0</v>
      </c>
      <c r="K381" s="77">
        <f t="shared" si="93"/>
        <v>0</v>
      </c>
      <c r="L381" s="77">
        <f t="shared" si="93"/>
        <v>7100</v>
      </c>
      <c r="M381" s="77">
        <f t="shared" si="93"/>
        <v>5210</v>
      </c>
      <c r="N381" s="77">
        <f t="shared" si="93"/>
        <v>2000</v>
      </c>
    </row>
    <row r="382" spans="2:14" x14ac:dyDescent="0.2">
      <c r="B382" s="67"/>
      <c r="C382" s="66"/>
      <c r="D382" s="66"/>
      <c r="E382" s="66"/>
      <c r="F382" s="210" t="s">
        <v>168</v>
      </c>
      <c r="G382" s="162">
        <v>0</v>
      </c>
      <c r="H382" s="162">
        <v>0</v>
      </c>
      <c r="I382" s="70">
        <v>0</v>
      </c>
      <c r="J382" s="70">
        <v>0</v>
      </c>
      <c r="K382" s="70">
        <v>0</v>
      </c>
      <c r="L382" s="70">
        <v>7100</v>
      </c>
      <c r="M382" s="70">
        <v>5210</v>
      </c>
      <c r="N382" s="70">
        <v>2000</v>
      </c>
    </row>
    <row r="383" spans="2:14" x14ac:dyDescent="0.2">
      <c r="B383" s="67"/>
      <c r="C383" s="66"/>
      <c r="D383" s="66"/>
      <c r="E383" s="238" t="s">
        <v>195</v>
      </c>
      <c r="F383" s="238"/>
      <c r="G383" s="77">
        <f t="shared" ref="G383:N383" si="94">SUM(G384:G388)</f>
        <v>5908</v>
      </c>
      <c r="H383" s="77">
        <f t="shared" si="94"/>
        <v>5916</v>
      </c>
      <c r="I383" s="77">
        <f t="shared" si="94"/>
        <v>6573</v>
      </c>
      <c r="J383" s="77">
        <f t="shared" si="94"/>
        <v>11332</v>
      </c>
      <c r="K383" s="77">
        <f t="shared" si="94"/>
        <v>6966.6500000000005</v>
      </c>
      <c r="L383" s="77">
        <f t="shared" si="94"/>
        <v>9510</v>
      </c>
      <c r="M383" s="77">
        <f t="shared" si="94"/>
        <v>7950</v>
      </c>
      <c r="N383" s="77">
        <f t="shared" si="94"/>
        <v>24740</v>
      </c>
    </row>
    <row r="384" spans="2:14" x14ac:dyDescent="0.2">
      <c r="B384" s="67"/>
      <c r="C384" s="66"/>
      <c r="D384" s="66"/>
      <c r="E384" s="66"/>
      <c r="F384" s="213" t="s">
        <v>170</v>
      </c>
      <c r="G384" s="162">
        <v>4508</v>
      </c>
      <c r="H384" s="162">
        <v>4450</v>
      </c>
      <c r="I384" s="70">
        <v>5429</v>
      </c>
      <c r="J384" s="70">
        <v>9995</v>
      </c>
      <c r="K384" s="70">
        <f>5068.47+432.75</f>
        <v>5501.22</v>
      </c>
      <c r="L384" s="70">
        <v>7200</v>
      </c>
      <c r="M384" s="70">
        <v>5800</v>
      </c>
      <c r="N384" s="70">
        <v>7200</v>
      </c>
    </row>
    <row r="385" spans="2:14" x14ac:dyDescent="0.2">
      <c r="B385" s="67"/>
      <c r="C385" s="66"/>
      <c r="D385" s="66"/>
      <c r="E385" s="66"/>
      <c r="F385" s="213" t="s">
        <v>171</v>
      </c>
      <c r="G385" s="162">
        <v>450</v>
      </c>
      <c r="H385" s="162">
        <v>450</v>
      </c>
      <c r="I385" s="64">
        <v>544</v>
      </c>
      <c r="J385" s="64">
        <v>0</v>
      </c>
      <c r="K385" s="64">
        <f>117</f>
        <v>117</v>
      </c>
      <c r="L385" s="64">
        <v>450</v>
      </c>
      <c r="M385" s="64">
        <v>460</v>
      </c>
      <c r="N385" s="64">
        <v>500</v>
      </c>
    </row>
    <row r="386" spans="2:14" x14ac:dyDescent="0.2">
      <c r="B386" s="67"/>
      <c r="C386" s="66"/>
      <c r="D386" s="66"/>
      <c r="E386" s="66"/>
      <c r="F386" s="213" t="s">
        <v>201</v>
      </c>
      <c r="G386" s="162">
        <v>575</v>
      </c>
      <c r="H386" s="162">
        <v>575</v>
      </c>
      <c r="I386" s="64">
        <v>600</v>
      </c>
      <c r="J386" s="64">
        <v>600</v>
      </c>
      <c r="K386" s="64">
        <f>650</f>
        <v>650</v>
      </c>
      <c r="L386" s="64">
        <v>700</v>
      </c>
      <c r="M386" s="64">
        <v>650</v>
      </c>
      <c r="N386" s="64">
        <v>700</v>
      </c>
    </row>
    <row r="387" spans="2:14" x14ac:dyDescent="0.2">
      <c r="B387" s="67"/>
      <c r="C387" s="66"/>
      <c r="D387" s="66"/>
      <c r="E387" s="66"/>
      <c r="F387" s="213" t="s">
        <v>172</v>
      </c>
      <c r="G387" s="162">
        <v>0</v>
      </c>
      <c r="H387" s="162">
        <v>0</v>
      </c>
      <c r="I387" s="162">
        <v>0</v>
      </c>
      <c r="J387" s="162">
        <v>0</v>
      </c>
      <c r="K387" s="162">
        <v>0</v>
      </c>
      <c r="L387" s="162">
        <v>0</v>
      </c>
      <c r="M387" s="162">
        <v>0</v>
      </c>
      <c r="N387" s="64">
        <v>15000</v>
      </c>
    </row>
    <row r="388" spans="2:14" x14ac:dyDescent="0.2">
      <c r="B388" s="67"/>
      <c r="C388" s="66"/>
      <c r="D388" s="66"/>
      <c r="E388" s="66"/>
      <c r="F388" s="213" t="s">
        <v>173</v>
      </c>
      <c r="G388" s="162">
        <v>375</v>
      </c>
      <c r="H388" s="162">
        <v>441</v>
      </c>
      <c r="I388" s="64">
        <v>0</v>
      </c>
      <c r="J388" s="64">
        <v>737</v>
      </c>
      <c r="K388" s="64">
        <f>100+578.43+20</f>
        <v>698.43</v>
      </c>
      <c r="L388" s="64">
        <v>1160</v>
      </c>
      <c r="M388" s="64">
        <v>1040</v>
      </c>
      <c r="N388" s="64">
        <v>1340</v>
      </c>
    </row>
    <row r="389" spans="2:14" x14ac:dyDescent="0.2">
      <c r="B389" s="67"/>
      <c r="C389" s="236" t="s">
        <v>216</v>
      </c>
      <c r="D389" s="236"/>
      <c r="E389" s="236"/>
      <c r="F389" s="236"/>
      <c r="G389" s="71">
        <f t="shared" ref="G389:N389" si="95">G390+G404</f>
        <v>522988</v>
      </c>
      <c r="H389" s="71">
        <f t="shared" si="95"/>
        <v>577513</v>
      </c>
      <c r="I389" s="71">
        <f t="shared" si="95"/>
        <v>576045</v>
      </c>
      <c r="J389" s="71">
        <f t="shared" si="95"/>
        <v>589690</v>
      </c>
      <c r="K389" s="71">
        <f t="shared" si="95"/>
        <v>737842.98</v>
      </c>
      <c r="L389" s="71">
        <f t="shared" si="95"/>
        <v>1860558</v>
      </c>
      <c r="M389" s="71">
        <f t="shared" si="95"/>
        <v>824474</v>
      </c>
      <c r="N389" s="71">
        <f t="shared" si="95"/>
        <v>1918192</v>
      </c>
    </row>
    <row r="390" spans="2:14" x14ac:dyDescent="0.2">
      <c r="B390" s="67"/>
      <c r="C390" s="66"/>
      <c r="D390" s="235" t="s">
        <v>216</v>
      </c>
      <c r="E390" s="237"/>
      <c r="F390" s="237"/>
      <c r="G390" s="77">
        <f t="shared" ref="G390:N390" si="96">G391+G395+G397</f>
        <v>512203</v>
      </c>
      <c r="H390" s="77">
        <f t="shared" si="96"/>
        <v>565813</v>
      </c>
      <c r="I390" s="77">
        <f t="shared" si="96"/>
        <v>563445</v>
      </c>
      <c r="J390" s="77">
        <f t="shared" si="96"/>
        <v>565840</v>
      </c>
      <c r="K390" s="77">
        <f t="shared" si="96"/>
        <v>715792.98</v>
      </c>
      <c r="L390" s="77">
        <f t="shared" si="96"/>
        <v>1840358</v>
      </c>
      <c r="M390" s="77">
        <f t="shared" si="96"/>
        <v>804284</v>
      </c>
      <c r="N390" s="77">
        <f t="shared" si="96"/>
        <v>1897992</v>
      </c>
    </row>
    <row r="391" spans="2:14" x14ac:dyDescent="0.2">
      <c r="B391" s="67"/>
      <c r="C391" s="66"/>
      <c r="D391" s="66"/>
      <c r="E391" s="232" t="s">
        <v>164</v>
      </c>
      <c r="F391" s="232"/>
      <c r="G391" s="73">
        <f>SUM(G392:G394)</f>
        <v>496036</v>
      </c>
      <c r="H391" s="73">
        <f t="shared" ref="H391:N391" si="97">SUM(H392:H394)</f>
        <v>552295</v>
      </c>
      <c r="I391" s="73">
        <f t="shared" si="97"/>
        <v>511096</v>
      </c>
      <c r="J391" s="73">
        <f t="shared" si="97"/>
        <v>527377</v>
      </c>
      <c r="K391" s="73">
        <f t="shared" si="97"/>
        <v>667921.23</v>
      </c>
      <c r="L391" s="73">
        <f t="shared" si="97"/>
        <v>753883</v>
      </c>
      <c r="M391" s="73">
        <f t="shared" si="97"/>
        <v>700714</v>
      </c>
      <c r="N391" s="73">
        <f t="shared" si="97"/>
        <v>817967</v>
      </c>
    </row>
    <row r="392" spans="2:14" x14ac:dyDescent="0.2">
      <c r="B392" s="67"/>
      <c r="C392" s="66"/>
      <c r="D392" s="66"/>
      <c r="E392" s="66"/>
      <c r="F392" s="210" t="s">
        <v>165</v>
      </c>
      <c r="G392" s="162">
        <v>488740</v>
      </c>
      <c r="H392" s="162">
        <v>552295</v>
      </c>
      <c r="I392" s="64">
        <v>511096</v>
      </c>
      <c r="J392" s="64">
        <v>527377</v>
      </c>
      <c r="K392" s="64">
        <v>667921.23</v>
      </c>
      <c r="L392" s="64">
        <v>753883</v>
      </c>
      <c r="M392" s="64">
        <v>700714</v>
      </c>
      <c r="N392" s="64">
        <v>817967</v>
      </c>
    </row>
    <row r="393" spans="2:14" x14ac:dyDescent="0.2">
      <c r="B393" s="67"/>
      <c r="C393" s="66"/>
      <c r="D393" s="66"/>
      <c r="E393" s="66"/>
      <c r="F393" s="213" t="s">
        <v>166</v>
      </c>
      <c r="G393" s="162">
        <v>7314</v>
      </c>
      <c r="H393" s="162">
        <v>0</v>
      </c>
      <c r="I393" s="162">
        <v>0</v>
      </c>
      <c r="J393" s="162">
        <v>0</v>
      </c>
      <c r="K393" s="162">
        <v>0</v>
      </c>
      <c r="L393" s="162">
        <v>0</v>
      </c>
      <c r="M393" s="64">
        <v>0</v>
      </c>
      <c r="N393" s="64">
        <v>0</v>
      </c>
    </row>
    <row r="394" spans="2:14" x14ac:dyDescent="0.2">
      <c r="B394" s="67"/>
      <c r="C394" s="66"/>
      <c r="D394" s="66"/>
      <c r="E394" s="66"/>
      <c r="F394" s="213" t="s">
        <v>178</v>
      </c>
      <c r="G394" s="162">
        <v>-18</v>
      </c>
      <c r="H394" s="162">
        <v>0</v>
      </c>
      <c r="I394" s="162">
        <v>0</v>
      </c>
      <c r="J394" s="162">
        <v>0</v>
      </c>
      <c r="K394" s="162">
        <v>0</v>
      </c>
      <c r="L394" s="162">
        <v>0</v>
      </c>
      <c r="M394" s="64">
        <v>0</v>
      </c>
      <c r="N394" s="64">
        <v>0</v>
      </c>
    </row>
    <row r="395" spans="2:14" x14ac:dyDescent="0.2">
      <c r="B395" s="67"/>
      <c r="C395" s="66"/>
      <c r="D395" s="66"/>
      <c r="E395" s="233" t="s">
        <v>194</v>
      </c>
      <c r="F395" s="233"/>
      <c r="G395" s="73">
        <f t="shared" ref="G395:N395" si="98">SUM(G396:G396)</f>
        <v>1628</v>
      </c>
      <c r="H395" s="73">
        <f t="shared" si="98"/>
        <v>0</v>
      </c>
      <c r="I395" s="73">
        <f t="shared" si="98"/>
        <v>0</v>
      </c>
      <c r="J395" s="73">
        <f t="shared" si="98"/>
        <v>0</v>
      </c>
      <c r="K395" s="73">
        <f t="shared" si="98"/>
        <v>0</v>
      </c>
      <c r="L395" s="73">
        <f t="shared" si="98"/>
        <v>0</v>
      </c>
      <c r="M395" s="73">
        <f t="shared" si="98"/>
        <v>0</v>
      </c>
      <c r="N395" s="73">
        <f t="shared" si="98"/>
        <v>0</v>
      </c>
    </row>
    <row r="396" spans="2:14" x14ac:dyDescent="0.2">
      <c r="B396" s="67"/>
      <c r="C396" s="66"/>
      <c r="D396" s="66"/>
      <c r="E396" s="66"/>
      <c r="F396" s="210" t="s">
        <v>168</v>
      </c>
      <c r="G396" s="162">
        <v>1628</v>
      </c>
      <c r="H396" s="162">
        <v>0</v>
      </c>
      <c r="I396" s="76">
        <v>0</v>
      </c>
      <c r="J396" s="76">
        <v>0</v>
      </c>
      <c r="K396" s="76">
        <v>0</v>
      </c>
      <c r="L396" s="76">
        <v>0</v>
      </c>
      <c r="M396" s="76">
        <v>0</v>
      </c>
      <c r="N396" s="76">
        <v>0</v>
      </c>
    </row>
    <row r="397" spans="2:14" x14ac:dyDescent="0.2">
      <c r="B397" s="67"/>
      <c r="C397" s="66"/>
      <c r="D397" s="66"/>
      <c r="E397" s="238" t="s">
        <v>195</v>
      </c>
      <c r="F397" s="238"/>
      <c r="G397" s="77">
        <f t="shared" ref="G397:N397" si="99">SUM(G398:G403)</f>
        <v>14539</v>
      </c>
      <c r="H397" s="77">
        <f t="shared" si="99"/>
        <v>13518</v>
      </c>
      <c r="I397" s="77">
        <f t="shared" si="99"/>
        <v>52349</v>
      </c>
      <c r="J397" s="77">
        <f t="shared" si="99"/>
        <v>38463</v>
      </c>
      <c r="K397" s="77">
        <f t="shared" si="99"/>
        <v>47871.75</v>
      </c>
      <c r="L397" s="77">
        <f t="shared" si="99"/>
        <v>1086475</v>
      </c>
      <c r="M397" s="77">
        <f t="shared" si="99"/>
        <v>103570</v>
      </c>
      <c r="N397" s="77">
        <f t="shared" si="99"/>
        <v>1080025</v>
      </c>
    </row>
    <row r="398" spans="2:14" x14ac:dyDescent="0.2">
      <c r="B398" s="67"/>
      <c r="C398" s="66"/>
      <c r="D398" s="66"/>
      <c r="E398" s="66"/>
      <c r="F398" s="213" t="s">
        <v>170</v>
      </c>
      <c r="G398" s="162">
        <v>3342</v>
      </c>
      <c r="H398" s="162">
        <v>2996</v>
      </c>
      <c r="I398" s="70">
        <v>9087</v>
      </c>
      <c r="J398" s="70">
        <v>4060</v>
      </c>
      <c r="K398" s="70">
        <f>3141.97+865.8</f>
        <v>4007.7699999999995</v>
      </c>
      <c r="L398" s="70">
        <v>6200</v>
      </c>
      <c r="M398" s="70">
        <v>6200</v>
      </c>
      <c r="N398" s="70">
        <v>6200</v>
      </c>
    </row>
    <row r="399" spans="2:14" x14ac:dyDescent="0.2">
      <c r="B399" s="67"/>
      <c r="C399" s="66"/>
      <c r="D399" s="66"/>
      <c r="E399" s="66"/>
      <c r="F399" s="213" t="s">
        <v>171</v>
      </c>
      <c r="G399" s="162">
        <v>5752</v>
      </c>
      <c r="H399" s="162">
        <v>1942</v>
      </c>
      <c r="I399" s="64">
        <v>2361</v>
      </c>
      <c r="J399" s="64">
        <v>80</v>
      </c>
      <c r="K399" s="64">
        <v>1500</v>
      </c>
      <c r="L399" s="64">
        <v>7550</v>
      </c>
      <c r="M399" s="64">
        <v>36300</v>
      </c>
      <c r="N399" s="64">
        <v>3800</v>
      </c>
    </row>
    <row r="400" spans="2:14" x14ac:dyDescent="0.2">
      <c r="B400" s="67"/>
      <c r="C400" s="66"/>
      <c r="D400" s="66"/>
      <c r="E400" s="66"/>
      <c r="F400" s="213" t="s">
        <v>172</v>
      </c>
      <c r="G400" s="162">
        <v>800</v>
      </c>
      <c r="H400" s="162">
        <v>2200</v>
      </c>
      <c r="I400" s="64">
        <v>35100</v>
      </c>
      <c r="J400" s="64">
        <v>27350</v>
      </c>
      <c r="K400" s="64">
        <v>34050</v>
      </c>
      <c r="L400" s="64">
        <v>1060000</v>
      </c>
      <c r="M400" s="64">
        <v>50000</v>
      </c>
      <c r="N400" s="64">
        <v>1060000</v>
      </c>
    </row>
    <row r="401" spans="2:14" x14ac:dyDescent="0.2">
      <c r="B401" s="67"/>
      <c r="C401" s="66"/>
      <c r="D401" s="66"/>
      <c r="E401" s="66"/>
      <c r="F401" s="213" t="s">
        <v>173</v>
      </c>
      <c r="G401" s="162">
        <v>2145</v>
      </c>
      <c r="H401" s="162">
        <v>4180</v>
      </c>
      <c r="I401" s="64">
        <v>3401</v>
      </c>
      <c r="J401" s="64">
        <v>4773</v>
      </c>
      <c r="K401" s="64">
        <f>1210.98+2608+4295</f>
        <v>8113.98</v>
      </c>
      <c r="L401" s="64">
        <v>10225</v>
      </c>
      <c r="M401" s="64">
        <v>8770</v>
      </c>
      <c r="N401" s="64">
        <v>9725</v>
      </c>
    </row>
    <row r="402" spans="2:14" x14ac:dyDescent="0.2">
      <c r="B402" s="67"/>
      <c r="C402" s="66"/>
      <c r="D402" s="66"/>
      <c r="E402" s="66"/>
      <c r="F402" s="213" t="s">
        <v>182</v>
      </c>
      <c r="G402" s="162">
        <v>300</v>
      </c>
      <c r="H402" s="162">
        <v>0</v>
      </c>
      <c r="I402" s="64">
        <v>200</v>
      </c>
      <c r="J402" s="64">
        <v>0</v>
      </c>
      <c r="K402" s="64">
        <v>200</v>
      </c>
      <c r="L402" s="64">
        <v>300</v>
      </c>
      <c r="M402" s="64">
        <v>100</v>
      </c>
      <c r="N402" s="64">
        <v>300</v>
      </c>
    </row>
    <row r="403" spans="2:14" x14ac:dyDescent="0.2">
      <c r="B403" s="67"/>
      <c r="C403" s="66"/>
      <c r="D403" s="66"/>
      <c r="E403" s="66"/>
      <c r="F403" s="213" t="s">
        <v>207</v>
      </c>
      <c r="G403" s="162">
        <v>2200</v>
      </c>
      <c r="H403" s="162">
        <v>2200</v>
      </c>
      <c r="I403" s="64">
        <v>2200</v>
      </c>
      <c r="J403" s="64">
        <v>2200</v>
      </c>
      <c r="K403" s="64">
        <v>0</v>
      </c>
      <c r="L403" s="64">
        <v>2200</v>
      </c>
      <c r="M403" s="64">
        <v>2200</v>
      </c>
      <c r="N403" s="64">
        <v>0</v>
      </c>
    </row>
    <row r="404" spans="2:14" x14ac:dyDescent="0.2">
      <c r="B404" s="67"/>
      <c r="C404" s="66"/>
      <c r="D404" s="233" t="s">
        <v>217</v>
      </c>
      <c r="E404" s="234"/>
      <c r="F404" s="234"/>
      <c r="G404" s="77">
        <f t="shared" ref="G404:N404" si="100">G405+G407</f>
        <v>10785</v>
      </c>
      <c r="H404" s="77">
        <f t="shared" si="100"/>
        <v>11700</v>
      </c>
      <c r="I404" s="77">
        <f t="shared" si="100"/>
        <v>12600</v>
      </c>
      <c r="J404" s="77">
        <f t="shared" si="100"/>
        <v>23850</v>
      </c>
      <c r="K404" s="77">
        <f t="shared" si="100"/>
        <v>22050</v>
      </c>
      <c r="L404" s="77">
        <f t="shared" si="100"/>
        <v>20200</v>
      </c>
      <c r="M404" s="77">
        <f t="shared" si="100"/>
        <v>20190</v>
      </c>
      <c r="N404" s="77">
        <f t="shared" si="100"/>
        <v>20200</v>
      </c>
    </row>
    <row r="405" spans="2:14" x14ac:dyDescent="0.2">
      <c r="B405" s="67"/>
      <c r="C405" s="66"/>
      <c r="D405" s="66"/>
      <c r="E405" s="233" t="s">
        <v>164</v>
      </c>
      <c r="F405" s="233"/>
      <c r="G405" s="73">
        <f t="shared" ref="G405:N405" si="101">SUM(G406:G406)</f>
        <v>10400</v>
      </c>
      <c r="H405" s="73">
        <f t="shared" si="101"/>
        <v>11700</v>
      </c>
      <c r="I405" s="73">
        <f t="shared" si="101"/>
        <v>12600</v>
      </c>
      <c r="J405" s="73">
        <f t="shared" si="101"/>
        <v>23850</v>
      </c>
      <c r="K405" s="73">
        <f t="shared" si="101"/>
        <v>22050</v>
      </c>
      <c r="L405" s="73">
        <f t="shared" si="101"/>
        <v>20000</v>
      </c>
      <c r="M405" s="73">
        <f t="shared" si="101"/>
        <v>20000</v>
      </c>
      <c r="N405" s="73">
        <f t="shared" si="101"/>
        <v>20000</v>
      </c>
    </row>
    <row r="406" spans="2:14" x14ac:dyDescent="0.2">
      <c r="B406" s="67"/>
      <c r="C406" s="66"/>
      <c r="D406" s="66"/>
      <c r="E406" s="66"/>
      <c r="F406" s="210" t="s">
        <v>165</v>
      </c>
      <c r="G406" s="162">
        <v>10400</v>
      </c>
      <c r="H406" s="162">
        <v>11700</v>
      </c>
      <c r="I406" s="64">
        <v>12600</v>
      </c>
      <c r="J406" s="64">
        <v>23850</v>
      </c>
      <c r="K406" s="64">
        <v>22050</v>
      </c>
      <c r="L406" s="64">
        <v>20000</v>
      </c>
      <c r="M406" s="64">
        <v>20000</v>
      </c>
      <c r="N406" s="64">
        <v>20000</v>
      </c>
    </row>
    <row r="407" spans="2:14" x14ac:dyDescent="0.2">
      <c r="B407" s="67"/>
      <c r="C407" s="66"/>
      <c r="D407" s="66"/>
      <c r="E407" s="235" t="s">
        <v>175</v>
      </c>
      <c r="F407" s="235"/>
      <c r="G407" s="73">
        <f t="shared" ref="G407:N407" si="102">SUM(G408:G408)</f>
        <v>385</v>
      </c>
      <c r="H407" s="73">
        <f t="shared" si="102"/>
        <v>0</v>
      </c>
      <c r="I407" s="73">
        <f t="shared" si="102"/>
        <v>0</v>
      </c>
      <c r="J407" s="73">
        <f t="shared" si="102"/>
        <v>0</v>
      </c>
      <c r="K407" s="73">
        <f t="shared" si="102"/>
        <v>0</v>
      </c>
      <c r="L407" s="73">
        <f t="shared" si="102"/>
        <v>200</v>
      </c>
      <c r="M407" s="73">
        <f t="shared" si="102"/>
        <v>190</v>
      </c>
      <c r="N407" s="73">
        <f t="shared" si="102"/>
        <v>200</v>
      </c>
    </row>
    <row r="408" spans="2:14" x14ac:dyDescent="0.2">
      <c r="B408" s="67"/>
      <c r="C408" s="66"/>
      <c r="D408" s="66"/>
      <c r="E408" s="66"/>
      <c r="F408" s="213" t="s">
        <v>173</v>
      </c>
      <c r="G408" s="162">
        <v>385</v>
      </c>
      <c r="H408" s="162">
        <v>0</v>
      </c>
      <c r="I408" s="64">
        <v>0</v>
      </c>
      <c r="J408" s="64">
        <v>0</v>
      </c>
      <c r="K408" s="64">
        <v>0</v>
      </c>
      <c r="L408" s="64">
        <v>200</v>
      </c>
      <c r="M408" s="64">
        <v>190</v>
      </c>
      <c r="N408" s="64">
        <v>200</v>
      </c>
    </row>
    <row r="409" spans="2:14" x14ac:dyDescent="0.2">
      <c r="B409" s="67"/>
      <c r="C409" s="236" t="s">
        <v>218</v>
      </c>
      <c r="D409" s="236"/>
      <c r="E409" s="236"/>
      <c r="F409" s="236"/>
      <c r="G409" s="71">
        <f t="shared" ref="G409:N409" si="103">G410</f>
        <v>5250</v>
      </c>
      <c r="H409" s="71">
        <f t="shared" si="103"/>
        <v>7725</v>
      </c>
      <c r="I409" s="71">
        <f t="shared" si="103"/>
        <v>7565</v>
      </c>
      <c r="J409" s="71">
        <f t="shared" si="103"/>
        <v>6210</v>
      </c>
      <c r="K409" s="71">
        <f t="shared" si="103"/>
        <v>5565</v>
      </c>
      <c r="L409" s="71">
        <f t="shared" si="103"/>
        <v>8500</v>
      </c>
      <c r="M409" s="71">
        <f t="shared" si="103"/>
        <v>5500</v>
      </c>
      <c r="N409" s="71">
        <f t="shared" si="103"/>
        <v>9500</v>
      </c>
    </row>
    <row r="410" spans="2:14" x14ac:dyDescent="0.2">
      <c r="B410" s="67"/>
      <c r="C410" s="66"/>
      <c r="D410" s="232" t="s">
        <v>218</v>
      </c>
      <c r="E410" s="239"/>
      <c r="F410" s="239"/>
      <c r="G410" s="77">
        <f t="shared" ref="G410:N410" si="104">G411+G413</f>
        <v>5250</v>
      </c>
      <c r="H410" s="77">
        <f t="shared" si="104"/>
        <v>7725</v>
      </c>
      <c r="I410" s="77">
        <f t="shared" si="104"/>
        <v>7565</v>
      </c>
      <c r="J410" s="77">
        <f t="shared" si="104"/>
        <v>6210</v>
      </c>
      <c r="K410" s="77">
        <f t="shared" si="104"/>
        <v>5565</v>
      </c>
      <c r="L410" s="77">
        <f t="shared" si="104"/>
        <v>8500</v>
      </c>
      <c r="M410" s="77">
        <f t="shared" si="104"/>
        <v>5500</v>
      </c>
      <c r="N410" s="77">
        <f t="shared" si="104"/>
        <v>9500</v>
      </c>
    </row>
    <row r="411" spans="2:14" x14ac:dyDescent="0.2">
      <c r="B411" s="67"/>
      <c r="C411" s="66"/>
      <c r="D411" s="66"/>
      <c r="E411" s="232" t="s">
        <v>164</v>
      </c>
      <c r="F411" s="232"/>
      <c r="G411" s="73">
        <f t="shared" ref="G411:N411" si="105">SUM(G412:G412)</f>
        <v>5250</v>
      </c>
      <c r="H411" s="73">
        <f t="shared" si="105"/>
        <v>7725</v>
      </c>
      <c r="I411" s="73">
        <f t="shared" si="105"/>
        <v>7275</v>
      </c>
      <c r="J411" s="73">
        <f t="shared" si="105"/>
        <v>6060</v>
      </c>
      <c r="K411" s="73">
        <f t="shared" si="105"/>
        <v>5565</v>
      </c>
      <c r="L411" s="73">
        <f t="shared" si="105"/>
        <v>8200</v>
      </c>
      <c r="M411" s="73">
        <f t="shared" si="105"/>
        <v>5500</v>
      </c>
      <c r="N411" s="73">
        <f t="shared" si="105"/>
        <v>9200</v>
      </c>
    </row>
    <row r="412" spans="2:14" x14ac:dyDescent="0.2">
      <c r="B412" s="67"/>
      <c r="C412" s="66"/>
      <c r="D412" s="66"/>
      <c r="E412" s="66"/>
      <c r="F412" s="213" t="s">
        <v>166</v>
      </c>
      <c r="G412" s="162">
        <v>5250</v>
      </c>
      <c r="H412" s="162">
        <v>7725</v>
      </c>
      <c r="I412" s="64">
        <v>7275</v>
      </c>
      <c r="J412" s="64">
        <v>6060</v>
      </c>
      <c r="K412" s="64">
        <v>5565</v>
      </c>
      <c r="L412" s="64">
        <v>8200</v>
      </c>
      <c r="M412" s="64">
        <v>5500</v>
      </c>
      <c r="N412" s="64">
        <v>9200</v>
      </c>
    </row>
    <row r="413" spans="2:14" x14ac:dyDescent="0.2">
      <c r="B413" s="67"/>
      <c r="C413" s="66"/>
      <c r="D413" s="66"/>
      <c r="E413" s="235" t="s">
        <v>175</v>
      </c>
      <c r="F413" s="235"/>
      <c r="G413" s="73">
        <f t="shared" ref="G413:N413" si="106">SUM(G414:G414)</f>
        <v>0</v>
      </c>
      <c r="H413" s="73">
        <f t="shared" si="106"/>
        <v>0</v>
      </c>
      <c r="I413" s="73">
        <f t="shared" si="106"/>
        <v>290</v>
      </c>
      <c r="J413" s="73">
        <f t="shared" si="106"/>
        <v>150</v>
      </c>
      <c r="K413" s="73">
        <f t="shared" si="106"/>
        <v>0</v>
      </c>
      <c r="L413" s="73">
        <f t="shared" si="106"/>
        <v>300</v>
      </c>
      <c r="M413" s="73">
        <f t="shared" si="106"/>
        <v>0</v>
      </c>
      <c r="N413" s="73">
        <f t="shared" si="106"/>
        <v>300</v>
      </c>
    </row>
    <row r="414" spans="2:14" x14ac:dyDescent="0.2">
      <c r="B414" s="67"/>
      <c r="C414" s="66"/>
      <c r="D414" s="66"/>
      <c r="E414" s="66"/>
      <c r="F414" s="213" t="s">
        <v>173</v>
      </c>
      <c r="G414" s="162">
        <v>0</v>
      </c>
      <c r="H414" s="162">
        <v>0</v>
      </c>
      <c r="I414" s="64">
        <v>290</v>
      </c>
      <c r="J414" s="64">
        <v>150</v>
      </c>
      <c r="K414" s="64">
        <v>0</v>
      </c>
      <c r="L414" s="64">
        <v>300</v>
      </c>
      <c r="M414" s="64">
        <v>0</v>
      </c>
      <c r="N414" s="64">
        <v>300</v>
      </c>
    </row>
    <row r="415" spans="2:14" x14ac:dyDescent="0.2">
      <c r="B415" s="67"/>
      <c r="C415" s="236" t="s">
        <v>98</v>
      </c>
      <c r="D415" s="236"/>
      <c r="E415" s="236"/>
      <c r="F415" s="236"/>
      <c r="G415" s="71">
        <f t="shared" ref="G415:N415" si="107">G416+G431</f>
        <v>2554234</v>
      </c>
      <c r="H415" s="71">
        <f t="shared" si="107"/>
        <v>2825362</v>
      </c>
      <c r="I415" s="71">
        <f t="shared" si="107"/>
        <v>3552600</v>
      </c>
      <c r="J415" s="71">
        <f t="shared" si="107"/>
        <v>3701628</v>
      </c>
      <c r="K415" s="71">
        <f t="shared" si="107"/>
        <v>4798154.41</v>
      </c>
      <c r="L415" s="71">
        <f t="shared" si="107"/>
        <v>5684476</v>
      </c>
      <c r="M415" s="71">
        <f t="shared" si="107"/>
        <v>5597005</v>
      </c>
      <c r="N415" s="71">
        <f t="shared" si="107"/>
        <v>6238910</v>
      </c>
    </row>
    <row r="416" spans="2:14" x14ac:dyDescent="0.2">
      <c r="B416" s="67"/>
      <c r="C416" s="66"/>
      <c r="D416" s="235" t="s">
        <v>219</v>
      </c>
      <c r="E416" s="237"/>
      <c r="F416" s="237"/>
      <c r="G416" s="77">
        <f t="shared" ref="G416:N416" si="108">G417+G421+G423</f>
        <v>2429075</v>
      </c>
      <c r="H416" s="77">
        <f t="shared" si="108"/>
        <v>2707641</v>
      </c>
      <c r="I416" s="77">
        <f t="shared" si="108"/>
        <v>3346207</v>
      </c>
      <c r="J416" s="77">
        <f t="shared" si="108"/>
        <v>3424781</v>
      </c>
      <c r="K416" s="77">
        <f t="shared" si="108"/>
        <v>4324457.18</v>
      </c>
      <c r="L416" s="77">
        <f t="shared" si="108"/>
        <v>5048637</v>
      </c>
      <c r="M416" s="77">
        <f t="shared" si="108"/>
        <v>5033398</v>
      </c>
      <c r="N416" s="77">
        <f t="shared" si="108"/>
        <v>5272377</v>
      </c>
    </row>
    <row r="417" spans="2:14" x14ac:dyDescent="0.2">
      <c r="B417" s="67"/>
      <c r="C417" s="66"/>
      <c r="D417" s="66"/>
      <c r="E417" s="232" t="s">
        <v>164</v>
      </c>
      <c r="F417" s="232"/>
      <c r="G417" s="73">
        <f t="shared" ref="G417:N417" si="109">SUM(G418:G420)</f>
        <v>1227358</v>
      </c>
      <c r="H417" s="73">
        <f t="shared" si="109"/>
        <v>1156837</v>
      </c>
      <c r="I417" s="73">
        <f t="shared" si="109"/>
        <v>1364366</v>
      </c>
      <c r="J417" s="73">
        <f t="shared" si="109"/>
        <v>1766782</v>
      </c>
      <c r="K417" s="73">
        <f t="shared" si="109"/>
        <v>2436541.46</v>
      </c>
      <c r="L417" s="73">
        <f t="shared" si="109"/>
        <v>3054007</v>
      </c>
      <c r="M417" s="73">
        <f t="shared" si="109"/>
        <v>3116185</v>
      </c>
      <c r="N417" s="73">
        <f t="shared" si="109"/>
        <v>3121848</v>
      </c>
    </row>
    <row r="418" spans="2:14" x14ac:dyDescent="0.2">
      <c r="B418" s="67"/>
      <c r="C418" s="66"/>
      <c r="D418" s="66"/>
      <c r="E418" s="66"/>
      <c r="F418" s="213" t="s">
        <v>165</v>
      </c>
      <c r="G418" s="162">
        <v>1324996</v>
      </c>
      <c r="H418" s="162">
        <v>1535218</v>
      </c>
      <c r="I418" s="64">
        <v>1641809</v>
      </c>
      <c r="J418" s="64">
        <v>1863890</v>
      </c>
      <c r="K418" s="64">
        <v>2575492.96</v>
      </c>
      <c r="L418" s="64">
        <v>3125147</v>
      </c>
      <c r="M418" s="64">
        <v>3216325</v>
      </c>
      <c r="N418" s="64">
        <v>3221988</v>
      </c>
    </row>
    <row r="419" spans="2:14" x14ac:dyDescent="0.2">
      <c r="B419" s="67"/>
      <c r="C419" s="66"/>
      <c r="D419" s="66"/>
      <c r="E419" s="66"/>
      <c r="F419" s="213" t="s">
        <v>166</v>
      </c>
      <c r="G419" s="162">
        <v>840</v>
      </c>
      <c r="H419" s="162">
        <v>32452</v>
      </c>
      <c r="I419" s="64">
        <v>27225</v>
      </c>
      <c r="J419" s="64">
        <v>22043</v>
      </c>
      <c r="K419" s="64">
        <v>517.5</v>
      </c>
      <c r="L419" s="64">
        <v>30000</v>
      </c>
      <c r="M419" s="64">
        <v>1000</v>
      </c>
      <c r="N419" s="64">
        <v>1000</v>
      </c>
    </row>
    <row r="420" spans="2:14" x14ac:dyDescent="0.2">
      <c r="B420" s="67"/>
      <c r="C420" s="66"/>
      <c r="D420" s="66"/>
      <c r="E420" s="66"/>
      <c r="F420" s="213" t="s">
        <v>179</v>
      </c>
      <c r="G420" s="162">
        <v>-98478</v>
      </c>
      <c r="H420" s="162">
        <v>-410833</v>
      </c>
      <c r="I420" s="64">
        <v>-304668</v>
      </c>
      <c r="J420" s="64">
        <v>-119151</v>
      </c>
      <c r="K420" s="64">
        <v>-139469</v>
      </c>
      <c r="L420" s="64">
        <v>-101140</v>
      </c>
      <c r="M420" s="64">
        <v>-101140</v>
      </c>
      <c r="N420" s="64">
        <v>-101140</v>
      </c>
    </row>
    <row r="421" spans="2:14" x14ac:dyDescent="0.2">
      <c r="B421" s="67"/>
      <c r="C421" s="66"/>
      <c r="D421" s="66"/>
      <c r="E421" s="235" t="s">
        <v>194</v>
      </c>
      <c r="F421" s="235"/>
      <c r="G421" s="78">
        <f t="shared" ref="G421:N421" si="110">SUM(G422:G422)</f>
        <v>0</v>
      </c>
      <c r="H421" s="78">
        <f t="shared" si="110"/>
        <v>0</v>
      </c>
      <c r="I421" s="78">
        <f t="shared" si="110"/>
        <v>0</v>
      </c>
      <c r="J421" s="78">
        <f t="shared" si="110"/>
        <v>0</v>
      </c>
      <c r="K421" s="78">
        <f t="shared" si="110"/>
        <v>0</v>
      </c>
      <c r="L421" s="78">
        <f t="shared" si="110"/>
        <v>3750</v>
      </c>
      <c r="M421" s="78">
        <f t="shared" si="110"/>
        <v>3000</v>
      </c>
      <c r="N421" s="78">
        <f t="shared" si="110"/>
        <v>4000</v>
      </c>
    </row>
    <row r="422" spans="2:14" x14ac:dyDescent="0.2">
      <c r="B422" s="67"/>
      <c r="C422" s="66"/>
      <c r="D422" s="66"/>
      <c r="E422" s="66"/>
      <c r="F422" s="210" t="s">
        <v>168</v>
      </c>
      <c r="G422" s="162">
        <v>0</v>
      </c>
      <c r="H422" s="162">
        <v>0</v>
      </c>
      <c r="I422" s="70">
        <v>0</v>
      </c>
      <c r="J422" s="70">
        <v>0</v>
      </c>
      <c r="K422" s="70">
        <v>0</v>
      </c>
      <c r="L422" s="70">
        <v>3750</v>
      </c>
      <c r="M422" s="70">
        <v>3000</v>
      </c>
      <c r="N422" s="70">
        <v>4000</v>
      </c>
    </row>
    <row r="423" spans="2:14" x14ac:dyDescent="0.2">
      <c r="B423" s="67"/>
      <c r="C423" s="66"/>
      <c r="D423" s="66"/>
      <c r="E423" s="238" t="s">
        <v>195</v>
      </c>
      <c r="F423" s="238"/>
      <c r="G423" s="77">
        <f t="shared" ref="G423:N423" si="111">SUM(G424:G430)</f>
        <v>1201717</v>
      </c>
      <c r="H423" s="77">
        <f t="shared" si="111"/>
        <v>1550804</v>
      </c>
      <c r="I423" s="77">
        <f t="shared" si="111"/>
        <v>1981841</v>
      </c>
      <c r="J423" s="77">
        <f t="shared" si="111"/>
        <v>1657999</v>
      </c>
      <c r="K423" s="77">
        <f t="shared" si="111"/>
        <v>1887915.7199999997</v>
      </c>
      <c r="L423" s="77">
        <f t="shared" si="111"/>
        <v>1990880</v>
      </c>
      <c r="M423" s="77">
        <f t="shared" si="111"/>
        <v>1914213</v>
      </c>
      <c r="N423" s="77">
        <f t="shared" si="111"/>
        <v>2146529</v>
      </c>
    </row>
    <row r="424" spans="2:14" x14ac:dyDescent="0.2">
      <c r="B424" s="67"/>
      <c r="C424" s="66"/>
      <c r="D424" s="66"/>
      <c r="E424" s="66"/>
      <c r="F424" s="213" t="s">
        <v>170</v>
      </c>
      <c r="G424" s="162">
        <v>30475</v>
      </c>
      <c r="H424" s="162">
        <v>29321</v>
      </c>
      <c r="I424" s="70">
        <v>23500</v>
      </c>
      <c r="J424" s="70">
        <v>21648</v>
      </c>
      <c r="K424" s="70">
        <f>15434.46+3059.85</f>
        <v>18494.309999999998</v>
      </c>
      <c r="L424" s="70">
        <v>31600</v>
      </c>
      <c r="M424" s="70">
        <v>25600</v>
      </c>
      <c r="N424" s="70">
        <v>29400</v>
      </c>
    </row>
    <row r="425" spans="2:14" x14ac:dyDescent="0.2">
      <c r="B425" s="67"/>
      <c r="C425" s="66"/>
      <c r="D425" s="66"/>
      <c r="E425" s="66"/>
      <c r="F425" s="213" t="s">
        <v>171</v>
      </c>
      <c r="G425" s="162">
        <v>126522</v>
      </c>
      <c r="H425" s="162">
        <v>17961</v>
      </c>
      <c r="I425" s="64">
        <v>14280</v>
      </c>
      <c r="J425" s="64">
        <v>14013</v>
      </c>
      <c r="K425" s="64">
        <f>2943.71+75.17+21355.69</f>
        <v>24374.57</v>
      </c>
      <c r="L425" s="64">
        <v>23400</v>
      </c>
      <c r="M425" s="64">
        <v>22675</v>
      </c>
      <c r="N425" s="64">
        <v>119575</v>
      </c>
    </row>
    <row r="426" spans="2:14" x14ac:dyDescent="0.2">
      <c r="B426" s="67"/>
      <c r="C426" s="66"/>
      <c r="D426" s="66"/>
      <c r="E426" s="66"/>
      <c r="F426" s="213" t="s">
        <v>172</v>
      </c>
      <c r="G426" s="162">
        <v>1027109</v>
      </c>
      <c r="H426" s="162">
        <v>1493027</v>
      </c>
      <c r="I426" s="64">
        <v>1928058</v>
      </c>
      <c r="J426" s="64">
        <v>1315480</v>
      </c>
      <c r="K426" s="64">
        <v>1531158.3</v>
      </c>
      <c r="L426" s="64">
        <v>1672000</v>
      </c>
      <c r="M426" s="64">
        <v>1608000</v>
      </c>
      <c r="N426" s="64">
        <v>1680000</v>
      </c>
    </row>
    <row r="427" spans="2:14" x14ac:dyDescent="0.2">
      <c r="B427" s="67"/>
      <c r="C427" s="66"/>
      <c r="D427" s="66"/>
      <c r="E427" s="66"/>
      <c r="F427" s="213" t="s">
        <v>173</v>
      </c>
      <c r="G427" s="162">
        <v>5810</v>
      </c>
      <c r="H427" s="162">
        <v>4382</v>
      </c>
      <c r="I427" s="64">
        <v>9306</v>
      </c>
      <c r="J427" s="64">
        <v>17524</v>
      </c>
      <c r="K427" s="64">
        <f>5456.03+2113+6017.81</f>
        <v>13586.84</v>
      </c>
      <c r="L427" s="64">
        <v>19200</v>
      </c>
      <c r="M427" s="64">
        <v>20600</v>
      </c>
      <c r="N427" s="64">
        <v>22200</v>
      </c>
    </row>
    <row r="428" spans="2:14" x14ac:dyDescent="0.2">
      <c r="B428" s="67"/>
      <c r="C428" s="66"/>
      <c r="D428" s="66"/>
      <c r="E428" s="66"/>
      <c r="F428" s="213" t="s">
        <v>181</v>
      </c>
      <c r="G428" s="162">
        <v>0</v>
      </c>
      <c r="H428" s="162">
        <v>0</v>
      </c>
      <c r="I428" s="64">
        <v>0</v>
      </c>
      <c r="J428" s="64">
        <v>280129</v>
      </c>
      <c r="K428" s="64">
        <v>290220.38</v>
      </c>
      <c r="L428" s="64">
        <v>235980</v>
      </c>
      <c r="M428" s="64">
        <v>228338</v>
      </c>
      <c r="N428" s="64">
        <v>286054</v>
      </c>
    </row>
    <row r="429" spans="2:14" x14ac:dyDescent="0.2">
      <c r="B429" s="67"/>
      <c r="C429" s="66"/>
      <c r="D429" s="66"/>
      <c r="E429" s="66"/>
      <c r="F429" s="213" t="s">
        <v>182</v>
      </c>
      <c r="G429" s="162">
        <v>418</v>
      </c>
      <c r="H429" s="162">
        <v>415</v>
      </c>
      <c r="I429" s="64">
        <v>605</v>
      </c>
      <c r="J429" s="64">
        <v>887</v>
      </c>
      <c r="K429" s="64">
        <v>1019.43</v>
      </c>
      <c r="L429" s="64">
        <v>1200</v>
      </c>
      <c r="M429" s="64">
        <v>1000</v>
      </c>
      <c r="N429" s="64">
        <v>1300</v>
      </c>
    </row>
    <row r="430" spans="2:14" x14ac:dyDescent="0.2">
      <c r="B430" s="67"/>
      <c r="C430" s="66"/>
      <c r="D430" s="66"/>
      <c r="E430" s="66"/>
      <c r="F430" s="213" t="s">
        <v>207</v>
      </c>
      <c r="G430" s="162">
        <v>11383</v>
      </c>
      <c r="H430" s="162">
        <v>5698</v>
      </c>
      <c r="I430" s="64">
        <v>6092</v>
      </c>
      <c r="J430" s="64">
        <v>8318</v>
      </c>
      <c r="K430" s="64">
        <v>9061.89</v>
      </c>
      <c r="L430" s="64">
        <v>7500</v>
      </c>
      <c r="M430" s="64">
        <v>8000</v>
      </c>
      <c r="N430" s="64">
        <v>8000</v>
      </c>
    </row>
    <row r="431" spans="2:14" x14ac:dyDescent="0.2">
      <c r="B431" s="67"/>
      <c r="C431" s="66"/>
      <c r="D431" s="233" t="s">
        <v>220</v>
      </c>
      <c r="E431" s="234"/>
      <c r="F431" s="234"/>
      <c r="G431" s="77">
        <f t="shared" ref="G431:N431" si="112">G432+G436+G438</f>
        <v>125159</v>
      </c>
      <c r="H431" s="77">
        <f t="shared" si="112"/>
        <v>117721</v>
      </c>
      <c r="I431" s="77">
        <f t="shared" si="112"/>
        <v>206393</v>
      </c>
      <c r="J431" s="77">
        <f t="shared" si="112"/>
        <v>276847</v>
      </c>
      <c r="K431" s="77">
        <f t="shared" si="112"/>
        <v>473697.23000000004</v>
      </c>
      <c r="L431" s="77">
        <f t="shared" si="112"/>
        <v>635839</v>
      </c>
      <c r="M431" s="77">
        <f t="shared" si="112"/>
        <v>563607</v>
      </c>
      <c r="N431" s="77">
        <f t="shared" si="112"/>
        <v>966533</v>
      </c>
    </row>
    <row r="432" spans="2:14" x14ac:dyDescent="0.2">
      <c r="B432" s="67"/>
      <c r="C432" s="66"/>
      <c r="D432" s="66"/>
      <c r="E432" s="232" t="s">
        <v>164</v>
      </c>
      <c r="F432" s="232"/>
      <c r="G432" s="73">
        <f t="shared" ref="G432:N432" si="113">SUM(G433:G435)</f>
        <v>120868</v>
      </c>
      <c r="H432" s="73">
        <f t="shared" si="113"/>
        <v>110969</v>
      </c>
      <c r="I432" s="73">
        <f t="shared" si="113"/>
        <v>200163</v>
      </c>
      <c r="J432" s="73">
        <f t="shared" si="113"/>
        <v>265579</v>
      </c>
      <c r="K432" s="73">
        <f t="shared" si="113"/>
        <v>455532.23000000004</v>
      </c>
      <c r="L432" s="73">
        <f t="shared" si="113"/>
        <v>520457</v>
      </c>
      <c r="M432" s="73">
        <f t="shared" si="113"/>
        <v>538425</v>
      </c>
      <c r="N432" s="73">
        <f t="shared" si="113"/>
        <v>836128</v>
      </c>
    </row>
    <row r="433" spans="2:14" x14ac:dyDescent="0.2">
      <c r="B433" s="67"/>
      <c r="C433" s="66"/>
      <c r="D433" s="66"/>
      <c r="E433" s="66"/>
      <c r="F433" s="213" t="s">
        <v>165</v>
      </c>
      <c r="G433" s="162">
        <v>113652</v>
      </c>
      <c r="H433" s="162">
        <v>103496</v>
      </c>
      <c r="I433" s="64">
        <v>162399</v>
      </c>
      <c r="J433" s="64">
        <v>173493</v>
      </c>
      <c r="K433" s="64">
        <v>336395.09</v>
      </c>
      <c r="L433" s="64">
        <v>370457</v>
      </c>
      <c r="M433" s="64">
        <v>388425</v>
      </c>
      <c r="N433" s="64">
        <v>456128</v>
      </c>
    </row>
    <row r="434" spans="2:14" x14ac:dyDescent="0.2">
      <c r="B434" s="67"/>
      <c r="C434" s="66"/>
      <c r="D434" s="66"/>
      <c r="E434" s="66"/>
      <c r="F434" s="213" t="s">
        <v>166</v>
      </c>
      <c r="G434" s="162">
        <v>7156</v>
      </c>
      <c r="H434" s="162">
        <v>5719</v>
      </c>
      <c r="I434" s="64">
        <v>37764</v>
      </c>
      <c r="J434" s="64">
        <v>90770</v>
      </c>
      <c r="K434" s="64">
        <v>119137.14</v>
      </c>
      <c r="L434" s="64">
        <v>150000</v>
      </c>
      <c r="M434" s="64">
        <v>150000</v>
      </c>
      <c r="N434" s="64">
        <v>380000</v>
      </c>
    </row>
    <row r="435" spans="2:14" x14ac:dyDescent="0.2">
      <c r="B435" s="67"/>
      <c r="C435" s="66"/>
      <c r="D435" s="66"/>
      <c r="E435" s="66"/>
      <c r="F435" s="213" t="s">
        <v>178</v>
      </c>
      <c r="G435" s="162">
        <v>60</v>
      </c>
      <c r="H435" s="162">
        <v>1754</v>
      </c>
      <c r="I435" s="64">
        <v>0</v>
      </c>
      <c r="J435" s="64">
        <v>1316</v>
      </c>
      <c r="K435" s="64">
        <v>0</v>
      </c>
      <c r="L435" s="64">
        <v>0</v>
      </c>
      <c r="M435" s="64">
        <v>0</v>
      </c>
      <c r="N435" s="64">
        <v>0</v>
      </c>
    </row>
    <row r="436" spans="2:14" x14ac:dyDescent="0.2">
      <c r="B436" s="67"/>
      <c r="C436" s="66"/>
      <c r="D436" s="66"/>
      <c r="E436" s="235" t="s">
        <v>194</v>
      </c>
      <c r="F436" s="235"/>
      <c r="G436" s="71">
        <f t="shared" ref="G436:N436" si="114">SUM(G437:G437)</f>
        <v>0</v>
      </c>
      <c r="H436" s="71">
        <f t="shared" si="114"/>
        <v>0</v>
      </c>
      <c r="I436" s="71">
        <f t="shared" si="114"/>
        <v>0</v>
      </c>
      <c r="J436" s="71">
        <f t="shared" si="114"/>
        <v>0</v>
      </c>
      <c r="K436" s="71">
        <f t="shared" si="114"/>
        <v>5079.87</v>
      </c>
      <c r="L436" s="71">
        <f t="shared" si="114"/>
        <v>0</v>
      </c>
      <c r="M436" s="71">
        <f t="shared" si="114"/>
        <v>0</v>
      </c>
      <c r="N436" s="71">
        <f t="shared" si="114"/>
        <v>0</v>
      </c>
    </row>
    <row r="437" spans="2:14" x14ac:dyDescent="0.2">
      <c r="B437" s="67"/>
      <c r="C437" s="66"/>
      <c r="D437" s="66"/>
      <c r="E437" s="66"/>
      <c r="F437" s="210" t="s">
        <v>168</v>
      </c>
      <c r="G437" s="162">
        <v>0</v>
      </c>
      <c r="H437" s="162">
        <v>0</v>
      </c>
      <c r="I437" s="64">
        <v>0</v>
      </c>
      <c r="J437" s="64">
        <v>0</v>
      </c>
      <c r="K437" s="64">
        <v>5079.87</v>
      </c>
      <c r="L437" s="64">
        <v>0</v>
      </c>
      <c r="M437" s="64">
        <v>0</v>
      </c>
      <c r="N437" s="64">
        <v>0</v>
      </c>
    </row>
    <row r="438" spans="2:14" x14ac:dyDescent="0.2">
      <c r="B438" s="67"/>
      <c r="C438" s="66"/>
      <c r="D438" s="66"/>
      <c r="E438" s="235" t="s">
        <v>175</v>
      </c>
      <c r="F438" s="235"/>
      <c r="G438" s="74">
        <f t="shared" ref="G438:N438" si="115">SUM(G439:G443)</f>
        <v>4291</v>
      </c>
      <c r="H438" s="74">
        <f t="shared" si="115"/>
        <v>6752</v>
      </c>
      <c r="I438" s="74">
        <f t="shared" si="115"/>
        <v>6230</v>
      </c>
      <c r="J438" s="74">
        <f t="shared" si="115"/>
        <v>11268</v>
      </c>
      <c r="K438" s="74">
        <f t="shared" si="115"/>
        <v>13085.13</v>
      </c>
      <c r="L438" s="74">
        <f t="shared" si="115"/>
        <v>115382</v>
      </c>
      <c r="M438" s="74">
        <f t="shared" si="115"/>
        <v>25182</v>
      </c>
      <c r="N438" s="74">
        <f t="shared" si="115"/>
        <v>130405</v>
      </c>
    </row>
    <row r="439" spans="2:14" x14ac:dyDescent="0.2">
      <c r="B439" s="67"/>
      <c r="C439" s="66"/>
      <c r="D439" s="66"/>
      <c r="E439" s="66"/>
      <c r="F439" s="213" t="s">
        <v>170</v>
      </c>
      <c r="G439" s="162">
        <v>2794</v>
      </c>
      <c r="H439" s="162">
        <v>6207</v>
      </c>
      <c r="I439" s="64">
        <v>5644</v>
      </c>
      <c r="J439" s="64">
        <v>10312</v>
      </c>
      <c r="K439" s="64">
        <f>9844.46+1539.3</f>
        <v>11383.759999999998</v>
      </c>
      <c r="L439" s="64">
        <v>16180</v>
      </c>
      <c r="M439" s="64">
        <v>13880</v>
      </c>
      <c r="N439" s="64">
        <v>15780</v>
      </c>
    </row>
    <row r="440" spans="2:14" x14ac:dyDescent="0.2">
      <c r="B440" s="67"/>
      <c r="C440" s="66"/>
      <c r="D440" s="66"/>
      <c r="E440" s="66"/>
      <c r="F440" s="213" t="s">
        <v>171</v>
      </c>
      <c r="G440" s="162">
        <v>970</v>
      </c>
      <c r="H440" s="162">
        <v>0</v>
      </c>
      <c r="I440" s="64">
        <v>0</v>
      </c>
      <c r="J440" s="64">
        <v>0</v>
      </c>
      <c r="K440" s="64">
        <v>49</v>
      </c>
      <c r="L440" s="64">
        <v>10500</v>
      </c>
      <c r="M440" s="64">
        <v>3500</v>
      </c>
      <c r="N440" s="64">
        <v>25500</v>
      </c>
    </row>
    <row r="441" spans="2:14" x14ac:dyDescent="0.2">
      <c r="B441" s="67"/>
      <c r="C441" s="66"/>
      <c r="D441" s="66"/>
      <c r="E441" s="66"/>
      <c r="F441" s="213" t="s">
        <v>173</v>
      </c>
      <c r="G441" s="162">
        <v>515</v>
      </c>
      <c r="H441" s="162">
        <v>545</v>
      </c>
      <c r="I441" s="64">
        <v>586</v>
      </c>
      <c r="J441" s="64">
        <v>956</v>
      </c>
      <c r="K441" s="64">
        <f>854.95+786.21+11.21</f>
        <v>1652.3700000000001</v>
      </c>
      <c r="L441" s="64">
        <v>8702</v>
      </c>
      <c r="M441" s="64">
        <v>7802</v>
      </c>
      <c r="N441" s="64">
        <v>9125</v>
      </c>
    </row>
    <row r="442" spans="2:14" x14ac:dyDescent="0.2">
      <c r="B442" s="67"/>
      <c r="C442" s="66"/>
      <c r="D442" s="66"/>
      <c r="E442" s="66"/>
      <c r="F442" s="213" t="s">
        <v>182</v>
      </c>
      <c r="G442" s="162">
        <v>12</v>
      </c>
      <c r="H442" s="162">
        <v>0</v>
      </c>
      <c r="I442" s="64">
        <v>0</v>
      </c>
      <c r="J442" s="64">
        <v>0</v>
      </c>
      <c r="K442" s="64">
        <v>0</v>
      </c>
      <c r="L442" s="64">
        <v>0</v>
      </c>
      <c r="M442" s="64">
        <v>0</v>
      </c>
      <c r="N442" s="64">
        <v>0</v>
      </c>
    </row>
    <row r="443" spans="2:14" x14ac:dyDescent="0.2">
      <c r="B443" s="67"/>
      <c r="C443" s="66"/>
      <c r="D443" s="66"/>
      <c r="E443" s="66"/>
      <c r="F443" s="213" t="s">
        <v>207</v>
      </c>
      <c r="G443" s="162">
        <v>0</v>
      </c>
      <c r="H443" s="162">
        <v>0</v>
      </c>
      <c r="I443" s="64">
        <v>0</v>
      </c>
      <c r="J443" s="64">
        <v>0</v>
      </c>
      <c r="K443" s="64">
        <v>0</v>
      </c>
      <c r="L443" s="64">
        <v>80000</v>
      </c>
      <c r="M443" s="64">
        <v>0</v>
      </c>
      <c r="N443" s="64">
        <v>80000</v>
      </c>
    </row>
    <row r="444" spans="2:14" x14ac:dyDescent="0.2">
      <c r="B444" s="67"/>
      <c r="C444" s="236" t="s">
        <v>221</v>
      </c>
      <c r="D444" s="236"/>
      <c r="E444" s="236"/>
      <c r="F444" s="236"/>
      <c r="G444" s="71">
        <f>G445+G464+G484+G457</f>
        <v>4089477</v>
      </c>
      <c r="H444" s="71">
        <f t="shared" ref="H444:N444" si="116">H445+H464+H484+H457</f>
        <v>3771163</v>
      </c>
      <c r="I444" s="71">
        <f t="shared" si="116"/>
        <v>4054171</v>
      </c>
      <c r="J444" s="71">
        <f t="shared" si="116"/>
        <v>4475776</v>
      </c>
      <c r="K444" s="71">
        <f t="shared" si="116"/>
        <v>5815054.1299999999</v>
      </c>
      <c r="L444" s="71">
        <f t="shared" si="116"/>
        <v>6345148</v>
      </c>
      <c r="M444" s="71">
        <f t="shared" si="116"/>
        <v>6857521</v>
      </c>
      <c r="N444" s="71">
        <f t="shared" si="116"/>
        <v>8193005</v>
      </c>
    </row>
    <row r="445" spans="2:14" x14ac:dyDescent="0.2">
      <c r="B445" s="67"/>
      <c r="C445" s="66"/>
      <c r="D445" s="235" t="s">
        <v>222</v>
      </c>
      <c r="E445" s="237"/>
      <c r="F445" s="237"/>
      <c r="G445" s="77">
        <f t="shared" ref="G445:N445" si="117">G446+G449</f>
        <v>586600</v>
      </c>
      <c r="H445" s="77">
        <f t="shared" si="117"/>
        <v>422281</v>
      </c>
      <c r="I445" s="77">
        <f t="shared" si="117"/>
        <v>474005</v>
      </c>
      <c r="J445" s="77">
        <f t="shared" si="117"/>
        <v>431685</v>
      </c>
      <c r="K445" s="77">
        <f t="shared" si="117"/>
        <v>1523115.09</v>
      </c>
      <c r="L445" s="77">
        <f t="shared" si="117"/>
        <v>1419644</v>
      </c>
      <c r="M445" s="77">
        <f t="shared" si="117"/>
        <v>1609109</v>
      </c>
      <c r="N445" s="77">
        <f t="shared" si="117"/>
        <v>1389055</v>
      </c>
    </row>
    <row r="446" spans="2:14" x14ac:dyDescent="0.2">
      <c r="B446" s="67"/>
      <c r="C446" s="66"/>
      <c r="D446" s="66"/>
      <c r="E446" s="232" t="s">
        <v>164</v>
      </c>
      <c r="F446" s="232"/>
      <c r="G446" s="73">
        <f t="shared" ref="G446:N446" si="118">SUM(G447:G448)</f>
        <v>26646</v>
      </c>
      <c r="H446" s="73">
        <f t="shared" si="118"/>
        <v>9940</v>
      </c>
      <c r="I446" s="73">
        <f t="shared" si="118"/>
        <v>80075</v>
      </c>
      <c r="J446" s="73">
        <f t="shared" si="118"/>
        <v>91695</v>
      </c>
      <c r="K446" s="73">
        <f t="shared" si="118"/>
        <v>113284.41</v>
      </c>
      <c r="L446" s="73">
        <f t="shared" si="118"/>
        <v>13015</v>
      </c>
      <c r="M446" s="73">
        <f t="shared" si="118"/>
        <v>14201</v>
      </c>
      <c r="N446" s="73">
        <f t="shared" si="118"/>
        <v>14422</v>
      </c>
    </row>
    <row r="447" spans="2:14" x14ac:dyDescent="0.2">
      <c r="B447" s="67"/>
      <c r="C447" s="66"/>
      <c r="D447" s="66"/>
      <c r="E447" s="66"/>
      <c r="F447" s="213" t="s">
        <v>165</v>
      </c>
      <c r="G447" s="162">
        <v>100171</v>
      </c>
      <c r="H447" s="162">
        <v>89844</v>
      </c>
      <c r="I447" s="64">
        <v>90719</v>
      </c>
      <c r="J447" s="64">
        <v>95012</v>
      </c>
      <c r="K447" s="64">
        <v>113284.41</v>
      </c>
      <c r="L447" s="64">
        <v>120805</v>
      </c>
      <c r="M447" s="64">
        <v>120806</v>
      </c>
      <c r="N447" s="64">
        <v>122249</v>
      </c>
    </row>
    <row r="448" spans="2:14" x14ac:dyDescent="0.2">
      <c r="B448" s="67"/>
      <c r="C448" s="66"/>
      <c r="D448" s="66"/>
      <c r="E448" s="66"/>
      <c r="F448" s="213" t="s">
        <v>179</v>
      </c>
      <c r="G448" s="162">
        <v>-73525</v>
      </c>
      <c r="H448" s="162">
        <v>-79904</v>
      </c>
      <c r="I448" s="64">
        <v>-10644</v>
      </c>
      <c r="J448" s="64">
        <v>-3317</v>
      </c>
      <c r="K448" s="64">
        <v>0</v>
      </c>
      <c r="L448" s="64">
        <v>-107790</v>
      </c>
      <c r="M448" s="64">
        <v>-106605</v>
      </c>
      <c r="N448" s="64">
        <v>-107827</v>
      </c>
    </row>
    <row r="449" spans="2:14" x14ac:dyDescent="0.2">
      <c r="B449" s="67"/>
      <c r="C449" s="66"/>
      <c r="D449" s="66"/>
      <c r="E449" s="235" t="s">
        <v>175</v>
      </c>
      <c r="F449" s="235"/>
      <c r="G449" s="74">
        <f t="shared" ref="G449:N449" si="119">SUM(G450:G456)</f>
        <v>559954</v>
      </c>
      <c r="H449" s="74">
        <f t="shared" si="119"/>
        <v>412341</v>
      </c>
      <c r="I449" s="74">
        <f t="shared" si="119"/>
        <v>393930</v>
      </c>
      <c r="J449" s="74">
        <f t="shared" si="119"/>
        <v>339990</v>
      </c>
      <c r="K449" s="74">
        <f t="shared" si="119"/>
        <v>1409830.6800000002</v>
      </c>
      <c r="L449" s="74">
        <f t="shared" si="119"/>
        <v>1406629</v>
      </c>
      <c r="M449" s="74">
        <f t="shared" si="119"/>
        <v>1594908</v>
      </c>
      <c r="N449" s="74">
        <f t="shared" si="119"/>
        <v>1374633</v>
      </c>
    </row>
    <row r="450" spans="2:14" x14ac:dyDescent="0.2">
      <c r="B450" s="67"/>
      <c r="C450" s="66"/>
      <c r="D450" s="66"/>
      <c r="E450" s="66"/>
      <c r="F450" s="213" t="s">
        <v>170</v>
      </c>
      <c r="G450" s="162">
        <v>2769</v>
      </c>
      <c r="H450" s="162">
        <v>0</v>
      </c>
      <c r="I450" s="64">
        <v>0</v>
      </c>
      <c r="J450" s="64">
        <v>2289</v>
      </c>
      <c r="K450" s="64">
        <f>592.2+2126.67</f>
        <v>2718.87</v>
      </c>
      <c r="L450" s="64">
        <v>9300</v>
      </c>
      <c r="M450" s="64">
        <v>8842</v>
      </c>
      <c r="N450" s="64">
        <v>9300</v>
      </c>
    </row>
    <row r="451" spans="2:14" x14ac:dyDescent="0.2">
      <c r="B451" s="67"/>
      <c r="C451" s="66"/>
      <c r="D451" s="66"/>
      <c r="E451" s="66"/>
      <c r="F451" s="213" t="s">
        <v>171</v>
      </c>
      <c r="G451" s="162">
        <v>299</v>
      </c>
      <c r="H451" s="162">
        <v>0</v>
      </c>
      <c r="I451" s="64">
        <v>0</v>
      </c>
      <c r="J451" s="64">
        <v>0</v>
      </c>
      <c r="K451" s="64">
        <f>1120</f>
        <v>1120</v>
      </c>
      <c r="L451" s="64">
        <v>37200</v>
      </c>
      <c r="M451" s="64">
        <v>25000</v>
      </c>
      <c r="N451" s="64">
        <v>35200</v>
      </c>
    </row>
    <row r="452" spans="2:14" x14ac:dyDescent="0.2">
      <c r="B452" s="67"/>
      <c r="C452" s="66"/>
      <c r="D452" s="66"/>
      <c r="E452" s="66"/>
      <c r="F452" s="213" t="s">
        <v>172</v>
      </c>
      <c r="G452" s="162">
        <v>567733</v>
      </c>
      <c r="H452" s="162">
        <v>571922</v>
      </c>
      <c r="I452" s="64">
        <v>440025</v>
      </c>
      <c r="J452" s="64">
        <v>176437</v>
      </c>
      <c r="K452" s="64">
        <v>150000</v>
      </c>
      <c r="L452" s="64">
        <v>150000</v>
      </c>
      <c r="M452" s="64">
        <v>150000</v>
      </c>
      <c r="N452" s="64">
        <v>150000</v>
      </c>
    </row>
    <row r="453" spans="2:14" x14ac:dyDescent="0.2">
      <c r="B453" s="67"/>
      <c r="C453" s="66"/>
      <c r="D453" s="66"/>
      <c r="E453" s="66"/>
      <c r="F453" s="213" t="s">
        <v>173</v>
      </c>
      <c r="G453" s="162">
        <v>4877</v>
      </c>
      <c r="H453" s="162">
        <v>165</v>
      </c>
      <c r="I453" s="64">
        <v>433</v>
      </c>
      <c r="J453" s="64">
        <v>6011</v>
      </c>
      <c r="K453" s="64">
        <f>5888.41</f>
        <v>5888.41</v>
      </c>
      <c r="L453" s="64">
        <v>25000</v>
      </c>
      <c r="M453" s="64">
        <v>24900</v>
      </c>
      <c r="N453" s="64">
        <v>24900</v>
      </c>
    </row>
    <row r="454" spans="2:14" x14ac:dyDescent="0.2">
      <c r="B454" s="67"/>
      <c r="C454" s="66"/>
      <c r="D454" s="66"/>
      <c r="E454" s="66"/>
      <c r="F454" s="213" t="s">
        <v>181</v>
      </c>
      <c r="G454" s="162">
        <v>0</v>
      </c>
      <c r="H454" s="162">
        <v>0</v>
      </c>
      <c r="I454" s="64">
        <v>0</v>
      </c>
      <c r="J454" s="64">
        <v>459244</v>
      </c>
      <c r="K454" s="64">
        <v>1441124.81</v>
      </c>
      <c r="L454" s="64">
        <v>1317691</v>
      </c>
      <c r="M454" s="64">
        <v>1386166</v>
      </c>
      <c r="N454" s="64">
        <v>1155233</v>
      </c>
    </row>
    <row r="455" spans="2:14" x14ac:dyDescent="0.2">
      <c r="B455" s="67"/>
      <c r="C455" s="66"/>
      <c r="D455" s="66"/>
      <c r="E455" s="66"/>
      <c r="F455" s="213" t="s">
        <v>182</v>
      </c>
      <c r="G455" s="162">
        <v>18</v>
      </c>
      <c r="H455" s="162">
        <v>0</v>
      </c>
      <c r="I455" s="64">
        <v>0</v>
      </c>
      <c r="J455" s="64">
        <v>0</v>
      </c>
      <c r="K455" s="64">
        <v>0</v>
      </c>
      <c r="L455" s="64">
        <v>0</v>
      </c>
      <c r="M455" s="64">
        <v>0</v>
      </c>
      <c r="N455" s="64">
        <v>0</v>
      </c>
    </row>
    <row r="456" spans="2:14" x14ac:dyDescent="0.2">
      <c r="B456" s="67"/>
      <c r="C456" s="66"/>
      <c r="D456" s="66"/>
      <c r="E456" s="66"/>
      <c r="F456" s="213" t="s">
        <v>183</v>
      </c>
      <c r="G456" s="162">
        <v>-15742</v>
      </c>
      <c r="H456" s="162">
        <v>-159746</v>
      </c>
      <c r="I456" s="64">
        <v>-46528</v>
      </c>
      <c r="J456" s="64">
        <v>-303991</v>
      </c>
      <c r="K456" s="64">
        <v>-191021.41</v>
      </c>
      <c r="L456" s="64">
        <v>-132562</v>
      </c>
      <c r="M456" s="64">
        <v>0</v>
      </c>
      <c r="N456" s="64">
        <v>0</v>
      </c>
    </row>
    <row r="457" spans="2:14" x14ac:dyDescent="0.2">
      <c r="B457" s="67"/>
      <c r="C457" s="66"/>
      <c r="D457" s="235" t="s">
        <v>223</v>
      </c>
      <c r="E457" s="237"/>
      <c r="F457" s="237"/>
      <c r="G457" s="77">
        <f t="shared" ref="G457:N457" si="120">G458+G460</f>
        <v>84833</v>
      </c>
      <c r="H457" s="77">
        <f t="shared" si="120"/>
        <v>115243</v>
      </c>
      <c r="I457" s="77">
        <f t="shared" si="120"/>
        <v>0</v>
      </c>
      <c r="J457" s="77">
        <f t="shared" si="120"/>
        <v>0</v>
      </c>
      <c r="K457" s="77">
        <f t="shared" si="120"/>
        <v>0</v>
      </c>
      <c r="L457" s="77">
        <f t="shared" si="120"/>
        <v>0</v>
      </c>
      <c r="M457" s="77">
        <f t="shared" si="120"/>
        <v>0</v>
      </c>
      <c r="N457" s="77">
        <f t="shared" si="120"/>
        <v>0</v>
      </c>
    </row>
    <row r="458" spans="2:14" x14ac:dyDescent="0.2">
      <c r="B458" s="67"/>
      <c r="C458" s="66"/>
      <c r="D458" s="66"/>
      <c r="E458" s="232" t="s">
        <v>164</v>
      </c>
      <c r="F458" s="232"/>
      <c r="G458" s="73">
        <f t="shared" ref="G458:N458" si="121">SUM(G459:G459)</f>
        <v>0</v>
      </c>
      <c r="H458" s="73">
        <f t="shared" si="121"/>
        <v>0</v>
      </c>
      <c r="I458" s="73">
        <f t="shared" si="121"/>
        <v>0</v>
      </c>
      <c r="J458" s="73">
        <f t="shared" si="121"/>
        <v>0</v>
      </c>
      <c r="K458" s="73">
        <f t="shared" si="121"/>
        <v>0</v>
      </c>
      <c r="L458" s="73">
        <f t="shared" si="121"/>
        <v>0</v>
      </c>
      <c r="M458" s="73">
        <f t="shared" si="121"/>
        <v>0</v>
      </c>
      <c r="N458" s="73">
        <f t="shared" si="121"/>
        <v>0</v>
      </c>
    </row>
    <row r="459" spans="2:14" x14ac:dyDescent="0.2">
      <c r="B459" s="67"/>
      <c r="C459" s="66"/>
      <c r="D459" s="66"/>
      <c r="E459" s="66"/>
      <c r="F459" s="213" t="s">
        <v>166</v>
      </c>
      <c r="G459" s="162">
        <v>0</v>
      </c>
      <c r="H459" s="162">
        <v>0</v>
      </c>
      <c r="I459" s="64">
        <v>0</v>
      </c>
      <c r="J459" s="64">
        <v>0</v>
      </c>
      <c r="K459" s="64">
        <v>0</v>
      </c>
      <c r="L459" s="64">
        <v>0</v>
      </c>
      <c r="M459" s="64">
        <v>0</v>
      </c>
      <c r="N459" s="64">
        <v>0</v>
      </c>
    </row>
    <row r="460" spans="2:14" x14ac:dyDescent="0.2">
      <c r="B460" s="67"/>
      <c r="C460" s="66"/>
      <c r="D460" s="66"/>
      <c r="E460" s="235" t="s">
        <v>175</v>
      </c>
      <c r="F460" s="235"/>
      <c r="G460" s="74">
        <f t="shared" ref="G460:N460" si="122">SUM(G461:G463)</f>
        <v>84833</v>
      </c>
      <c r="H460" s="74">
        <f t="shared" si="122"/>
        <v>115243</v>
      </c>
      <c r="I460" s="74">
        <f t="shared" si="122"/>
        <v>0</v>
      </c>
      <c r="J460" s="74">
        <f t="shared" si="122"/>
        <v>0</v>
      </c>
      <c r="K460" s="74">
        <f t="shared" si="122"/>
        <v>0</v>
      </c>
      <c r="L460" s="74">
        <f t="shared" si="122"/>
        <v>0</v>
      </c>
      <c r="M460" s="74">
        <f t="shared" si="122"/>
        <v>0</v>
      </c>
      <c r="N460" s="74">
        <f t="shared" si="122"/>
        <v>0</v>
      </c>
    </row>
    <row r="461" spans="2:14" x14ac:dyDescent="0.2">
      <c r="B461" s="67"/>
      <c r="C461" s="66"/>
      <c r="D461" s="66"/>
      <c r="E461" s="66"/>
      <c r="F461" s="213" t="s">
        <v>170</v>
      </c>
      <c r="G461" s="162">
        <v>0</v>
      </c>
      <c r="H461" s="162">
        <v>0</v>
      </c>
      <c r="I461" s="162">
        <v>0</v>
      </c>
      <c r="J461" s="162">
        <v>0</v>
      </c>
      <c r="K461" s="162">
        <v>0</v>
      </c>
      <c r="L461" s="162">
        <v>0</v>
      </c>
      <c r="M461" s="64">
        <v>0</v>
      </c>
      <c r="N461" s="64">
        <v>0</v>
      </c>
    </row>
    <row r="462" spans="2:14" x14ac:dyDescent="0.2">
      <c r="B462" s="67"/>
      <c r="C462" s="66"/>
      <c r="D462" s="66"/>
      <c r="E462" s="66"/>
      <c r="F462" s="213" t="s">
        <v>172</v>
      </c>
      <c r="G462" s="162">
        <v>84833</v>
      </c>
      <c r="H462" s="162">
        <v>115243</v>
      </c>
      <c r="I462" s="64">
        <v>0</v>
      </c>
      <c r="J462" s="64">
        <v>0</v>
      </c>
      <c r="K462" s="64">
        <v>0</v>
      </c>
      <c r="L462" s="64">
        <v>0</v>
      </c>
      <c r="M462" s="64">
        <v>0</v>
      </c>
      <c r="N462" s="64">
        <v>0</v>
      </c>
    </row>
    <row r="463" spans="2:14" x14ac:dyDescent="0.2">
      <c r="B463" s="67"/>
      <c r="C463" s="66"/>
      <c r="D463" s="66"/>
      <c r="E463" s="66"/>
      <c r="F463" s="213" t="s">
        <v>173</v>
      </c>
      <c r="G463" s="162">
        <v>0</v>
      </c>
      <c r="H463" s="162">
        <v>0</v>
      </c>
      <c r="I463" s="162">
        <v>0</v>
      </c>
      <c r="J463" s="162">
        <v>0</v>
      </c>
      <c r="K463" s="162">
        <v>0</v>
      </c>
      <c r="L463" s="162">
        <v>0</v>
      </c>
      <c r="M463" s="64">
        <v>0</v>
      </c>
      <c r="N463" s="64">
        <v>0</v>
      </c>
    </row>
    <row r="464" spans="2:14" x14ac:dyDescent="0.2">
      <c r="B464" s="67"/>
      <c r="C464" s="66"/>
      <c r="D464" s="235" t="s">
        <v>224</v>
      </c>
      <c r="E464" s="237"/>
      <c r="F464" s="237"/>
      <c r="G464" s="80">
        <f t="shared" ref="G464:N464" si="123">G465+G473+G476</f>
        <v>3418044</v>
      </c>
      <c r="H464" s="80">
        <f t="shared" si="123"/>
        <v>3233639</v>
      </c>
      <c r="I464" s="80">
        <f t="shared" si="123"/>
        <v>3580166</v>
      </c>
      <c r="J464" s="80">
        <f t="shared" si="123"/>
        <v>4044091</v>
      </c>
      <c r="K464" s="80">
        <f t="shared" si="123"/>
        <v>4225840.6500000004</v>
      </c>
      <c r="L464" s="80">
        <f t="shared" si="123"/>
        <v>4771750</v>
      </c>
      <c r="M464" s="80">
        <f t="shared" si="123"/>
        <v>5087934</v>
      </c>
      <c r="N464" s="80">
        <f t="shared" si="123"/>
        <v>6385952</v>
      </c>
    </row>
    <row r="465" spans="2:14" x14ac:dyDescent="0.2">
      <c r="B465" s="67"/>
      <c r="C465" s="66"/>
      <c r="D465" s="66"/>
      <c r="E465" s="232" t="s">
        <v>164</v>
      </c>
      <c r="F465" s="232"/>
      <c r="G465" s="73">
        <f>SUM(G466:G472)</f>
        <v>1940820</v>
      </c>
      <c r="H465" s="73">
        <f t="shared" ref="H465:N465" si="124">SUM(H466:H472)</f>
        <v>1764782</v>
      </c>
      <c r="I465" s="73">
        <f t="shared" si="124"/>
        <v>1942754</v>
      </c>
      <c r="J465" s="73">
        <f t="shared" si="124"/>
        <v>2345460</v>
      </c>
      <c r="K465" s="73">
        <f t="shared" si="124"/>
        <v>2462550.77</v>
      </c>
      <c r="L465" s="73">
        <f t="shared" si="124"/>
        <v>2761054</v>
      </c>
      <c r="M465" s="73">
        <f t="shared" si="124"/>
        <v>2530639</v>
      </c>
      <c r="N465" s="73">
        <f t="shared" si="124"/>
        <v>2963845</v>
      </c>
    </row>
    <row r="466" spans="2:14" x14ac:dyDescent="0.2">
      <c r="B466" s="67"/>
      <c r="C466" s="66"/>
      <c r="D466" s="66"/>
      <c r="E466" s="66"/>
      <c r="F466" s="213" t="s">
        <v>165</v>
      </c>
      <c r="G466" s="162">
        <v>1845964</v>
      </c>
      <c r="H466" s="162">
        <v>1762089</v>
      </c>
      <c r="I466" s="64">
        <v>1870220</v>
      </c>
      <c r="J466" s="64">
        <v>2254117</v>
      </c>
      <c r="K466" s="64">
        <v>2362215.33</v>
      </c>
      <c r="L466" s="64">
        <v>2647804</v>
      </c>
      <c r="M466" s="64">
        <v>2416886</v>
      </c>
      <c r="N466" s="64">
        <v>2815659</v>
      </c>
    </row>
    <row r="467" spans="2:14" x14ac:dyDescent="0.2">
      <c r="B467" s="67"/>
      <c r="C467" s="66"/>
      <c r="D467" s="66"/>
      <c r="E467" s="66"/>
      <c r="F467" s="213" t="s">
        <v>166</v>
      </c>
      <c r="G467" s="162">
        <v>43441</v>
      </c>
      <c r="H467" s="162">
        <v>0</v>
      </c>
      <c r="I467" s="64">
        <v>15700</v>
      </c>
      <c r="J467" s="64">
        <v>15902</v>
      </c>
      <c r="K467" s="64">
        <v>15532.65</v>
      </c>
      <c r="L467" s="64">
        <v>25000</v>
      </c>
      <c r="M467" s="64">
        <v>24849</v>
      </c>
      <c r="N467" s="64">
        <v>59936</v>
      </c>
    </row>
    <row r="468" spans="2:14" x14ac:dyDescent="0.2">
      <c r="B468" s="67"/>
      <c r="C468" s="66"/>
      <c r="D468" s="66"/>
      <c r="E468" s="66"/>
      <c r="F468" s="213" t="s">
        <v>190</v>
      </c>
      <c r="G468" s="162">
        <v>51415</v>
      </c>
      <c r="H468" s="162">
        <v>0</v>
      </c>
      <c r="I468" s="64">
        <v>991</v>
      </c>
      <c r="J468" s="64">
        <v>7922</v>
      </c>
      <c r="K468" s="64">
        <v>17025.060000000001</v>
      </c>
      <c r="L468" s="64">
        <v>16000</v>
      </c>
      <c r="M468" s="64">
        <v>16654</v>
      </c>
      <c r="N468" s="64">
        <v>16000</v>
      </c>
    </row>
    <row r="469" spans="2:14" x14ac:dyDescent="0.2">
      <c r="B469" s="67"/>
      <c r="C469" s="66"/>
      <c r="D469" s="66"/>
      <c r="E469" s="66"/>
      <c r="F469" s="213" t="s">
        <v>198</v>
      </c>
      <c r="G469" s="162">
        <v>0</v>
      </c>
      <c r="H469" s="162">
        <v>49649</v>
      </c>
      <c r="I469" s="64">
        <v>55843</v>
      </c>
      <c r="J469" s="64">
        <v>60919</v>
      </c>
      <c r="K469" s="64">
        <v>56976.97</v>
      </c>
      <c r="L469" s="64">
        <v>65100</v>
      </c>
      <c r="M469" s="64">
        <v>65100</v>
      </c>
      <c r="N469" s="64">
        <v>65100</v>
      </c>
    </row>
    <row r="470" spans="2:14" x14ac:dyDescent="0.2">
      <c r="B470" s="67"/>
      <c r="C470" s="66"/>
      <c r="D470" s="66"/>
      <c r="E470" s="66"/>
      <c r="F470" s="213" t="s">
        <v>178</v>
      </c>
      <c r="G470" s="162">
        <v>0</v>
      </c>
      <c r="H470" s="162">
        <v>0</v>
      </c>
      <c r="I470" s="64">
        <v>0</v>
      </c>
      <c r="J470" s="64">
        <v>0</v>
      </c>
      <c r="K470" s="64">
        <v>4200.76</v>
      </c>
      <c r="L470" s="64">
        <v>0</v>
      </c>
      <c r="M470" s="64">
        <v>0</v>
      </c>
      <c r="N470" s="64">
        <v>0</v>
      </c>
    </row>
    <row r="471" spans="2:14" x14ac:dyDescent="0.2">
      <c r="B471" s="67"/>
      <c r="C471" s="66"/>
      <c r="D471" s="66"/>
      <c r="E471" s="66"/>
      <c r="F471" s="213" t="s">
        <v>225</v>
      </c>
      <c r="G471" s="162">
        <v>0</v>
      </c>
      <c r="H471" s="162">
        <v>0</v>
      </c>
      <c r="I471" s="64">
        <v>0</v>
      </c>
      <c r="J471" s="64">
        <v>6600</v>
      </c>
      <c r="K471" s="64">
        <v>6600</v>
      </c>
      <c r="L471" s="64">
        <v>7150</v>
      </c>
      <c r="M471" s="64">
        <v>7150</v>
      </c>
      <c r="N471" s="64">
        <v>7150</v>
      </c>
    </row>
    <row r="472" spans="2:14" x14ac:dyDescent="0.2">
      <c r="B472" s="67"/>
      <c r="C472" s="66"/>
      <c r="D472" s="66"/>
      <c r="E472" s="66"/>
      <c r="F472" s="213" t="s">
        <v>179</v>
      </c>
      <c r="G472" s="162">
        <v>0</v>
      </c>
      <c r="H472" s="162">
        <v>-46956</v>
      </c>
      <c r="I472" s="64">
        <v>0</v>
      </c>
      <c r="J472" s="64">
        <v>0</v>
      </c>
      <c r="K472" s="64">
        <v>0</v>
      </c>
      <c r="L472" s="64">
        <v>0</v>
      </c>
      <c r="M472" s="64">
        <v>0</v>
      </c>
      <c r="N472" s="64">
        <v>0</v>
      </c>
    </row>
    <row r="473" spans="2:14" x14ac:dyDescent="0.2">
      <c r="B473" s="67"/>
      <c r="C473" s="66"/>
      <c r="D473" s="66"/>
      <c r="E473" s="235" t="s">
        <v>194</v>
      </c>
      <c r="F473" s="235"/>
      <c r="G473" s="77">
        <f t="shared" ref="G473:N473" si="125">SUM(G474:G475)</f>
        <v>0</v>
      </c>
      <c r="H473" s="77">
        <f t="shared" si="125"/>
        <v>0</v>
      </c>
      <c r="I473" s="77">
        <f t="shared" si="125"/>
        <v>0</v>
      </c>
      <c r="J473" s="77">
        <f t="shared" si="125"/>
        <v>411</v>
      </c>
      <c r="K473" s="77">
        <f t="shared" si="125"/>
        <v>13546.68</v>
      </c>
      <c r="L473" s="77">
        <f t="shared" si="125"/>
        <v>55000</v>
      </c>
      <c r="M473" s="77">
        <f t="shared" si="125"/>
        <v>0</v>
      </c>
      <c r="N473" s="77">
        <f t="shared" si="125"/>
        <v>60000</v>
      </c>
    </row>
    <row r="474" spans="2:14" x14ac:dyDescent="0.2">
      <c r="B474" s="67"/>
      <c r="C474" s="66"/>
      <c r="D474" s="66"/>
      <c r="E474" s="66"/>
      <c r="F474" s="210" t="s">
        <v>168</v>
      </c>
      <c r="G474" s="162">
        <v>0</v>
      </c>
      <c r="H474" s="162">
        <v>0</v>
      </c>
      <c r="I474" s="70">
        <v>0</v>
      </c>
      <c r="J474" s="70">
        <v>411</v>
      </c>
      <c r="K474" s="70">
        <v>13546.68</v>
      </c>
      <c r="L474" s="70">
        <v>0</v>
      </c>
      <c r="M474" s="70">
        <v>0</v>
      </c>
      <c r="N474" s="70">
        <v>0</v>
      </c>
    </row>
    <row r="475" spans="2:14" x14ac:dyDescent="0.2">
      <c r="B475" s="67"/>
      <c r="C475" s="66"/>
      <c r="D475" s="66"/>
      <c r="E475" s="66"/>
      <c r="F475" s="213" t="s">
        <v>200</v>
      </c>
      <c r="G475" s="162">
        <v>0</v>
      </c>
      <c r="H475" s="162">
        <v>0</v>
      </c>
      <c r="I475" s="64">
        <v>0</v>
      </c>
      <c r="J475" s="64">
        <v>0</v>
      </c>
      <c r="K475" s="64">
        <v>0</v>
      </c>
      <c r="L475" s="64">
        <v>55000</v>
      </c>
      <c r="M475" s="64">
        <v>0</v>
      </c>
      <c r="N475" s="64">
        <v>60000</v>
      </c>
    </row>
    <row r="476" spans="2:14" x14ac:dyDescent="0.2">
      <c r="B476" s="67"/>
      <c r="C476" s="66"/>
      <c r="D476" s="66"/>
      <c r="E476" s="238" t="s">
        <v>195</v>
      </c>
      <c r="F476" s="238"/>
      <c r="G476" s="77">
        <f t="shared" ref="G476:N476" si="126">SUM(G477:G483)</f>
        <v>1477224</v>
      </c>
      <c r="H476" s="77">
        <f t="shared" si="126"/>
        <v>1468857</v>
      </c>
      <c r="I476" s="77">
        <f t="shared" si="126"/>
        <v>1637412</v>
      </c>
      <c r="J476" s="77">
        <f t="shared" si="126"/>
        <v>1698220</v>
      </c>
      <c r="K476" s="77">
        <f t="shared" si="126"/>
        <v>1749743.2</v>
      </c>
      <c r="L476" s="77">
        <f t="shared" si="126"/>
        <v>1955696</v>
      </c>
      <c r="M476" s="77">
        <f t="shared" si="126"/>
        <v>2557295</v>
      </c>
      <c r="N476" s="77">
        <f t="shared" si="126"/>
        <v>3362107</v>
      </c>
    </row>
    <row r="477" spans="2:14" x14ac:dyDescent="0.2">
      <c r="B477" s="67"/>
      <c r="C477" s="66"/>
      <c r="D477" s="66"/>
      <c r="E477" s="66"/>
      <c r="F477" s="213" t="s">
        <v>170</v>
      </c>
      <c r="G477" s="162">
        <v>13632</v>
      </c>
      <c r="H477" s="162">
        <v>14985</v>
      </c>
      <c r="I477" s="76">
        <v>16657</v>
      </c>
      <c r="J477" s="76">
        <v>18108</v>
      </c>
      <c r="K477" s="76">
        <f>15781.32+5810.55</f>
        <v>21591.87</v>
      </c>
      <c r="L477" s="76">
        <v>25450</v>
      </c>
      <c r="M477" s="76">
        <v>24349</v>
      </c>
      <c r="N477" s="76">
        <v>25650</v>
      </c>
    </row>
    <row r="478" spans="2:14" x14ac:dyDescent="0.2">
      <c r="B478" s="67"/>
      <c r="C478" s="66"/>
      <c r="D478" s="66"/>
      <c r="E478" s="66"/>
      <c r="F478" s="213" t="s">
        <v>171</v>
      </c>
      <c r="G478" s="162">
        <v>242392</v>
      </c>
      <c r="H478" s="162">
        <v>343602</v>
      </c>
      <c r="I478" s="64">
        <v>338332</v>
      </c>
      <c r="J478" s="64">
        <v>309060</v>
      </c>
      <c r="K478" s="64">
        <f>1672.81+431.3+162.1+384087.55+703.6</f>
        <v>387057.36</v>
      </c>
      <c r="L478" s="64">
        <v>388112</v>
      </c>
      <c r="M478" s="64">
        <v>382956</v>
      </c>
      <c r="N478" s="64">
        <v>507220</v>
      </c>
    </row>
    <row r="479" spans="2:14" x14ac:dyDescent="0.2">
      <c r="B479" s="67"/>
      <c r="C479" s="66"/>
      <c r="D479" s="66"/>
      <c r="E479" s="66"/>
      <c r="F479" s="213" t="s">
        <v>226</v>
      </c>
      <c r="G479" s="162">
        <v>1718</v>
      </c>
      <c r="H479" s="162">
        <v>2333</v>
      </c>
      <c r="I479" s="64">
        <v>1221</v>
      </c>
      <c r="J479" s="64">
        <v>1408</v>
      </c>
      <c r="K479" s="64">
        <f>578.96+1379.06</f>
        <v>1958.02</v>
      </c>
      <c r="L479" s="64">
        <v>3550</v>
      </c>
      <c r="M479" s="64">
        <v>2379</v>
      </c>
      <c r="N479" s="64">
        <v>3550</v>
      </c>
    </row>
    <row r="480" spans="2:14" x14ac:dyDescent="0.2">
      <c r="B480" s="67"/>
      <c r="C480" s="66"/>
      <c r="D480" s="66"/>
      <c r="E480" s="66"/>
      <c r="F480" s="213" t="s">
        <v>172</v>
      </c>
      <c r="G480" s="162">
        <v>1207014</v>
      </c>
      <c r="H480" s="162">
        <v>1096839</v>
      </c>
      <c r="I480" s="64">
        <v>1259321</v>
      </c>
      <c r="J480" s="64">
        <v>12222</v>
      </c>
      <c r="K480" s="64">
        <v>5003.75</v>
      </c>
      <c r="L480" s="64">
        <v>185000</v>
      </c>
      <c r="M480" s="64">
        <v>155800</v>
      </c>
      <c r="N480" s="64">
        <v>545000</v>
      </c>
    </row>
    <row r="481" spans="2:14" x14ac:dyDescent="0.2">
      <c r="B481" s="67"/>
      <c r="C481" s="66"/>
      <c r="D481" s="66"/>
      <c r="E481" s="66"/>
      <c r="F481" s="213" t="s">
        <v>173</v>
      </c>
      <c r="G481" s="162">
        <v>12168</v>
      </c>
      <c r="H481" s="162">
        <v>10798</v>
      </c>
      <c r="I481" s="64">
        <v>21881</v>
      </c>
      <c r="J481" s="64">
        <v>20722</v>
      </c>
      <c r="K481" s="64">
        <f>5435.63+9138.06+3432.5</f>
        <v>18006.189999999999</v>
      </c>
      <c r="L481" s="64">
        <v>34445</v>
      </c>
      <c r="M481" s="64">
        <v>26588</v>
      </c>
      <c r="N481" s="64">
        <v>49545</v>
      </c>
    </row>
    <row r="482" spans="2:14" x14ac:dyDescent="0.2">
      <c r="B482" s="67"/>
      <c r="C482" s="66"/>
      <c r="D482" s="66"/>
      <c r="E482" s="66"/>
      <c r="F482" s="213" t="s">
        <v>181</v>
      </c>
      <c r="G482" s="162">
        <v>0</v>
      </c>
      <c r="H482" s="162">
        <v>0</v>
      </c>
      <c r="I482" s="64">
        <v>0</v>
      </c>
      <c r="J482" s="64">
        <v>1336378</v>
      </c>
      <c r="K482" s="64">
        <v>1315826.01</v>
      </c>
      <c r="L482" s="64">
        <v>1318689</v>
      </c>
      <c r="M482" s="64">
        <v>1964823</v>
      </c>
      <c r="N482" s="64">
        <v>2230692</v>
      </c>
    </row>
    <row r="483" spans="2:14" x14ac:dyDescent="0.2">
      <c r="B483" s="67"/>
      <c r="C483" s="66"/>
      <c r="D483" s="66"/>
      <c r="E483" s="66"/>
      <c r="F483" s="213" t="s">
        <v>182</v>
      </c>
      <c r="G483" s="162">
        <v>300</v>
      </c>
      <c r="H483" s="162">
        <v>300</v>
      </c>
      <c r="I483" s="64">
        <v>0</v>
      </c>
      <c r="J483" s="64">
        <v>322</v>
      </c>
      <c r="K483" s="64">
        <v>300</v>
      </c>
      <c r="L483" s="64">
        <v>450</v>
      </c>
      <c r="M483" s="64">
        <v>400</v>
      </c>
      <c r="N483" s="64">
        <v>450</v>
      </c>
    </row>
    <row r="484" spans="2:14" x14ac:dyDescent="0.2">
      <c r="B484" s="67"/>
      <c r="C484" s="66"/>
      <c r="D484" s="235" t="s">
        <v>227</v>
      </c>
      <c r="E484" s="237"/>
      <c r="F484" s="237"/>
      <c r="G484" s="80">
        <f t="shared" ref="G484:N484" si="127">G485</f>
        <v>0</v>
      </c>
      <c r="H484" s="80">
        <f t="shared" si="127"/>
        <v>0</v>
      </c>
      <c r="I484" s="80">
        <f t="shared" si="127"/>
        <v>0</v>
      </c>
      <c r="J484" s="80">
        <f t="shared" si="127"/>
        <v>0</v>
      </c>
      <c r="K484" s="80">
        <f t="shared" si="127"/>
        <v>66098.39</v>
      </c>
      <c r="L484" s="80">
        <f t="shared" si="127"/>
        <v>153754</v>
      </c>
      <c r="M484" s="80">
        <f t="shared" si="127"/>
        <v>160478</v>
      </c>
      <c r="N484" s="80">
        <f t="shared" si="127"/>
        <v>417998</v>
      </c>
    </row>
    <row r="485" spans="2:14" x14ac:dyDescent="0.2">
      <c r="B485" s="67"/>
      <c r="C485" s="66"/>
      <c r="D485" s="66"/>
      <c r="E485" s="235" t="s">
        <v>175</v>
      </c>
      <c r="F485" s="235"/>
      <c r="G485" s="68">
        <f t="shared" ref="G485:N485" si="128">SUM(G486:G487)</f>
        <v>0</v>
      </c>
      <c r="H485" s="68">
        <f t="shared" si="128"/>
        <v>0</v>
      </c>
      <c r="I485" s="68">
        <f t="shared" si="128"/>
        <v>0</v>
      </c>
      <c r="J485" s="68">
        <f t="shared" si="128"/>
        <v>0</v>
      </c>
      <c r="K485" s="68">
        <f t="shared" si="128"/>
        <v>66098.39</v>
      </c>
      <c r="L485" s="68">
        <f t="shared" si="128"/>
        <v>153754</v>
      </c>
      <c r="M485" s="68">
        <f t="shared" si="128"/>
        <v>160478</v>
      </c>
      <c r="N485" s="68">
        <f t="shared" si="128"/>
        <v>417998</v>
      </c>
    </row>
    <row r="486" spans="2:14" x14ac:dyDescent="0.2">
      <c r="B486" s="67"/>
      <c r="C486" s="66"/>
      <c r="D486" s="66"/>
      <c r="E486" s="66"/>
      <c r="F486" s="213" t="s">
        <v>172</v>
      </c>
      <c r="G486" s="162">
        <v>0</v>
      </c>
      <c r="H486" s="162">
        <v>0</v>
      </c>
      <c r="I486" s="64">
        <v>0</v>
      </c>
      <c r="J486" s="64">
        <v>0</v>
      </c>
      <c r="K486" s="64">
        <v>0</v>
      </c>
      <c r="L486" s="64">
        <v>92500</v>
      </c>
      <c r="M486" s="64">
        <v>80000</v>
      </c>
      <c r="N486" s="64">
        <v>192500</v>
      </c>
    </row>
    <row r="487" spans="2:14" x14ac:dyDescent="0.2">
      <c r="B487" s="67"/>
      <c r="C487" s="66"/>
      <c r="D487" s="66"/>
      <c r="E487" s="66"/>
      <c r="F487" s="213" t="s">
        <v>181</v>
      </c>
      <c r="G487" s="162">
        <v>0</v>
      </c>
      <c r="H487" s="162">
        <v>0</v>
      </c>
      <c r="I487" s="64">
        <v>0</v>
      </c>
      <c r="J487" s="64">
        <v>0</v>
      </c>
      <c r="K487" s="64">
        <v>66098.39</v>
      </c>
      <c r="L487" s="64">
        <v>61254</v>
      </c>
      <c r="M487" s="64">
        <v>80478</v>
      </c>
      <c r="N487" s="64">
        <v>225498</v>
      </c>
    </row>
    <row r="488" spans="2:14" x14ac:dyDescent="0.2">
      <c r="B488" s="67"/>
      <c r="C488" s="236" t="s">
        <v>228</v>
      </c>
      <c r="D488" s="236"/>
      <c r="E488" s="236"/>
      <c r="F488" s="236"/>
      <c r="G488" s="71">
        <f t="shared" ref="G488:N488" si="129">G489</f>
        <v>1001542</v>
      </c>
      <c r="H488" s="71">
        <f t="shared" si="129"/>
        <v>927292</v>
      </c>
      <c r="I488" s="71">
        <f t="shared" si="129"/>
        <v>847291</v>
      </c>
      <c r="J488" s="71">
        <f t="shared" si="129"/>
        <v>1074069</v>
      </c>
      <c r="K488" s="71">
        <f t="shared" si="129"/>
        <v>1159981.6399999999</v>
      </c>
      <c r="L488" s="71">
        <f t="shared" si="129"/>
        <v>1654563</v>
      </c>
      <c r="M488" s="71">
        <f t="shared" si="129"/>
        <v>1183074</v>
      </c>
      <c r="N488" s="71">
        <f t="shared" si="129"/>
        <v>1575842</v>
      </c>
    </row>
    <row r="489" spans="2:14" x14ac:dyDescent="0.2">
      <c r="B489" s="67"/>
      <c r="C489" s="66"/>
      <c r="D489" s="235" t="s">
        <v>228</v>
      </c>
      <c r="E489" s="237"/>
      <c r="F489" s="237"/>
      <c r="G489" s="80">
        <f t="shared" ref="G489:N489" si="130">G490+G496</f>
        <v>1001542</v>
      </c>
      <c r="H489" s="80">
        <f t="shared" si="130"/>
        <v>927292</v>
      </c>
      <c r="I489" s="80">
        <f t="shared" si="130"/>
        <v>847291</v>
      </c>
      <c r="J489" s="80">
        <f t="shared" si="130"/>
        <v>1074069</v>
      </c>
      <c r="K489" s="80">
        <f t="shared" si="130"/>
        <v>1159981.6399999999</v>
      </c>
      <c r="L489" s="80">
        <f t="shared" si="130"/>
        <v>1654563</v>
      </c>
      <c r="M489" s="80">
        <f t="shared" si="130"/>
        <v>1183074</v>
      </c>
      <c r="N489" s="80">
        <f t="shared" si="130"/>
        <v>1575842</v>
      </c>
    </row>
    <row r="490" spans="2:14" x14ac:dyDescent="0.2">
      <c r="B490" s="67"/>
      <c r="C490" s="66"/>
      <c r="D490" s="66"/>
      <c r="E490" s="232" t="s">
        <v>164</v>
      </c>
      <c r="F490" s="232"/>
      <c r="G490" s="73">
        <f t="shared" ref="G490:N490" si="131">SUM(G491:G495)</f>
        <v>964306</v>
      </c>
      <c r="H490" s="73">
        <f t="shared" si="131"/>
        <v>898417</v>
      </c>
      <c r="I490" s="73">
        <f t="shared" si="131"/>
        <v>826316</v>
      </c>
      <c r="J490" s="73">
        <f t="shared" si="131"/>
        <v>1012659</v>
      </c>
      <c r="K490" s="73">
        <f t="shared" si="131"/>
        <v>1103747.17</v>
      </c>
      <c r="L490" s="73">
        <f t="shared" si="131"/>
        <v>1524058</v>
      </c>
      <c r="M490" s="73">
        <f t="shared" si="131"/>
        <v>1049927</v>
      </c>
      <c r="N490" s="73">
        <f t="shared" si="131"/>
        <v>1500967</v>
      </c>
    </row>
    <row r="491" spans="2:14" x14ac:dyDescent="0.2">
      <c r="B491" s="67"/>
      <c r="C491" s="66"/>
      <c r="D491" s="66"/>
      <c r="E491" s="66"/>
      <c r="F491" s="213" t="s">
        <v>165</v>
      </c>
      <c r="G491" s="162">
        <v>1064268</v>
      </c>
      <c r="H491" s="162">
        <v>974759</v>
      </c>
      <c r="I491" s="64">
        <v>992978</v>
      </c>
      <c r="J491" s="64">
        <v>1008284</v>
      </c>
      <c r="K491" s="64">
        <v>1099097.17</v>
      </c>
      <c r="L491" s="64">
        <v>1566858</v>
      </c>
      <c r="M491" s="64">
        <v>1074427</v>
      </c>
      <c r="N491" s="64">
        <v>1523767</v>
      </c>
    </row>
    <row r="492" spans="2:14" x14ac:dyDescent="0.2">
      <c r="B492" s="67"/>
      <c r="C492" s="66"/>
      <c r="D492" s="66"/>
      <c r="E492" s="66"/>
      <c r="F492" s="213" t="s">
        <v>166</v>
      </c>
      <c r="G492" s="162">
        <v>11517</v>
      </c>
      <c r="H492" s="162">
        <v>0</v>
      </c>
      <c r="I492" s="162">
        <v>0</v>
      </c>
      <c r="J492" s="162">
        <v>0</v>
      </c>
      <c r="K492" s="162">
        <v>0</v>
      </c>
      <c r="L492" s="162">
        <v>0</v>
      </c>
      <c r="M492" s="64">
        <v>0</v>
      </c>
      <c r="N492" s="64">
        <v>0</v>
      </c>
    </row>
    <row r="493" spans="2:14" x14ac:dyDescent="0.2">
      <c r="B493" s="67"/>
      <c r="C493" s="66"/>
      <c r="D493" s="66"/>
      <c r="E493" s="66"/>
      <c r="F493" s="213" t="s">
        <v>190</v>
      </c>
      <c r="G493" s="162">
        <v>0</v>
      </c>
      <c r="H493" s="162">
        <v>0</v>
      </c>
      <c r="I493" s="64">
        <v>0</v>
      </c>
      <c r="J493" s="64">
        <v>0</v>
      </c>
      <c r="K493" s="64">
        <v>0</v>
      </c>
      <c r="L493" s="64">
        <v>500</v>
      </c>
      <c r="M493" s="64">
        <v>0</v>
      </c>
      <c r="N493" s="64">
        <v>500</v>
      </c>
    </row>
    <row r="494" spans="2:14" x14ac:dyDescent="0.2">
      <c r="B494" s="67"/>
      <c r="C494" s="66"/>
      <c r="D494" s="66"/>
      <c r="E494" s="66"/>
      <c r="F494" s="213" t="s">
        <v>225</v>
      </c>
      <c r="G494" s="162">
        <v>1800</v>
      </c>
      <c r="H494" s="162">
        <v>1575</v>
      </c>
      <c r="I494" s="64">
        <v>1575</v>
      </c>
      <c r="J494" s="64">
        <v>4375</v>
      </c>
      <c r="K494" s="64">
        <v>4650</v>
      </c>
      <c r="L494" s="64">
        <v>6700</v>
      </c>
      <c r="M494" s="64">
        <v>5500</v>
      </c>
      <c r="N494" s="64">
        <v>6700</v>
      </c>
    </row>
    <row r="495" spans="2:14" x14ac:dyDescent="0.2">
      <c r="B495" s="67"/>
      <c r="C495" s="66"/>
      <c r="D495" s="66"/>
      <c r="E495" s="66"/>
      <c r="F495" s="213" t="s">
        <v>179</v>
      </c>
      <c r="G495" s="162">
        <v>-113279</v>
      </c>
      <c r="H495" s="162">
        <v>-77917</v>
      </c>
      <c r="I495" s="64">
        <v>-168237</v>
      </c>
      <c r="J495" s="64">
        <v>0</v>
      </c>
      <c r="K495" s="64">
        <v>0</v>
      </c>
      <c r="L495" s="64">
        <v>-50000</v>
      </c>
      <c r="M495" s="64">
        <v>-30000</v>
      </c>
      <c r="N495" s="64">
        <v>-30000</v>
      </c>
    </row>
    <row r="496" spans="2:14" x14ac:dyDescent="0.2">
      <c r="B496" s="67"/>
      <c r="C496" s="66"/>
      <c r="D496" s="66"/>
      <c r="E496" s="235" t="s">
        <v>175</v>
      </c>
      <c r="F496" s="235"/>
      <c r="G496" s="74">
        <f t="shared" ref="G496:N496" si="132">SUM(G497:G504)</f>
        <v>37236</v>
      </c>
      <c r="H496" s="74">
        <f t="shared" si="132"/>
        <v>28875</v>
      </c>
      <c r="I496" s="74">
        <f t="shared" si="132"/>
        <v>20975</v>
      </c>
      <c r="J496" s="74">
        <f t="shared" si="132"/>
        <v>61410</v>
      </c>
      <c r="K496" s="74">
        <f t="shared" si="132"/>
        <v>56234.470000000008</v>
      </c>
      <c r="L496" s="74">
        <f t="shared" si="132"/>
        <v>130505</v>
      </c>
      <c r="M496" s="74">
        <f t="shared" si="132"/>
        <v>133147</v>
      </c>
      <c r="N496" s="74">
        <f t="shared" si="132"/>
        <v>74875</v>
      </c>
    </row>
    <row r="497" spans="2:14" x14ac:dyDescent="0.2">
      <c r="B497" s="67"/>
      <c r="C497" s="66"/>
      <c r="D497" s="66"/>
      <c r="E497" s="66"/>
      <c r="F497" s="213" t="s">
        <v>170</v>
      </c>
      <c r="G497" s="162">
        <v>8259</v>
      </c>
      <c r="H497" s="162">
        <v>5754</v>
      </c>
      <c r="I497" s="64">
        <v>5159</v>
      </c>
      <c r="J497" s="64">
        <v>6022</v>
      </c>
      <c r="K497" s="64">
        <f>3285.52+2299.4</f>
        <v>5584.92</v>
      </c>
      <c r="L497" s="64">
        <v>10000</v>
      </c>
      <c r="M497" s="64">
        <v>8700</v>
      </c>
      <c r="N497" s="64">
        <v>10000</v>
      </c>
    </row>
    <row r="498" spans="2:14" x14ac:dyDescent="0.2">
      <c r="B498" s="67"/>
      <c r="C498" s="66"/>
      <c r="D498" s="66"/>
      <c r="E498" s="66"/>
      <c r="F498" s="213" t="s">
        <v>171</v>
      </c>
      <c r="G498" s="162">
        <v>10731</v>
      </c>
      <c r="H498" s="162">
        <v>3707</v>
      </c>
      <c r="I498" s="64">
        <v>10496</v>
      </c>
      <c r="J498" s="64">
        <v>15070</v>
      </c>
      <c r="K498" s="64">
        <f>234.77+9947.07+2187.66+6300</f>
        <v>18669.5</v>
      </c>
      <c r="L498" s="64">
        <v>22090</v>
      </c>
      <c r="M498" s="64">
        <v>19200</v>
      </c>
      <c r="N498" s="64">
        <v>25600</v>
      </c>
    </row>
    <row r="499" spans="2:14" x14ac:dyDescent="0.2">
      <c r="B499" s="67"/>
      <c r="C499" s="66"/>
      <c r="D499" s="66"/>
      <c r="E499" s="66"/>
      <c r="F499" s="213" t="s">
        <v>201</v>
      </c>
      <c r="G499" s="162">
        <v>0</v>
      </c>
      <c r="H499" s="162">
        <v>0</v>
      </c>
      <c r="I499" s="64">
        <v>0</v>
      </c>
      <c r="J499" s="64">
        <v>152</v>
      </c>
      <c r="K499" s="64">
        <v>0</v>
      </c>
      <c r="L499" s="64">
        <v>975</v>
      </c>
      <c r="M499" s="64">
        <v>150</v>
      </c>
      <c r="N499" s="64">
        <v>975</v>
      </c>
    </row>
    <row r="500" spans="2:14" x14ac:dyDescent="0.2">
      <c r="B500" s="67"/>
      <c r="C500" s="66"/>
      <c r="D500" s="66"/>
      <c r="E500" s="66"/>
      <c r="F500" s="213" t="s">
        <v>226</v>
      </c>
      <c r="G500" s="162">
        <v>1208</v>
      </c>
      <c r="H500" s="162">
        <v>1141</v>
      </c>
      <c r="I500" s="64">
        <v>1661</v>
      </c>
      <c r="J500" s="64">
        <v>966</v>
      </c>
      <c r="K500" s="64">
        <v>351.66</v>
      </c>
      <c r="L500" s="64">
        <v>2050</v>
      </c>
      <c r="M500" s="64">
        <v>1850</v>
      </c>
      <c r="N500" s="64">
        <v>2050</v>
      </c>
    </row>
    <row r="501" spans="2:14" x14ac:dyDescent="0.2">
      <c r="B501" s="67"/>
      <c r="C501" s="66"/>
      <c r="D501" s="66"/>
      <c r="E501" s="66"/>
      <c r="F501" s="213" t="s">
        <v>172</v>
      </c>
      <c r="G501" s="162">
        <v>15864</v>
      </c>
      <c r="H501" s="162">
        <v>17483</v>
      </c>
      <c r="I501" s="64">
        <v>1508</v>
      </c>
      <c r="J501" s="64">
        <v>35758</v>
      </c>
      <c r="K501" s="64">
        <v>30057.75</v>
      </c>
      <c r="L501" s="64">
        <v>30000</v>
      </c>
      <c r="M501" s="64">
        <v>12600</v>
      </c>
      <c r="N501" s="64">
        <v>30000</v>
      </c>
    </row>
    <row r="502" spans="2:14" x14ac:dyDescent="0.2">
      <c r="B502" s="67"/>
      <c r="C502" s="66"/>
      <c r="D502" s="66"/>
      <c r="E502" s="66"/>
      <c r="F502" s="213" t="s">
        <v>173</v>
      </c>
      <c r="G502" s="162">
        <v>1154</v>
      </c>
      <c r="H502" s="162">
        <v>673</v>
      </c>
      <c r="I502" s="64">
        <v>2146</v>
      </c>
      <c r="J502" s="64">
        <v>3419</v>
      </c>
      <c r="K502" s="64">
        <f>23.92+1302+239.99</f>
        <v>1565.91</v>
      </c>
      <c r="L502" s="64">
        <v>5550</v>
      </c>
      <c r="M502" s="64">
        <v>3500</v>
      </c>
      <c r="N502" s="64">
        <v>6150</v>
      </c>
    </row>
    <row r="503" spans="2:14" x14ac:dyDescent="0.2">
      <c r="B503" s="67"/>
      <c r="C503" s="66"/>
      <c r="D503" s="66"/>
      <c r="E503" s="66"/>
      <c r="F503" s="213" t="s">
        <v>181</v>
      </c>
      <c r="G503" s="162">
        <v>0</v>
      </c>
      <c r="H503" s="162">
        <v>0</v>
      </c>
      <c r="I503" s="64">
        <v>0</v>
      </c>
      <c r="J503" s="64">
        <v>0</v>
      </c>
      <c r="K503" s="64">
        <v>0</v>
      </c>
      <c r="L503" s="64">
        <v>59740</v>
      </c>
      <c r="M503" s="64">
        <v>87047</v>
      </c>
      <c r="N503" s="64">
        <v>0</v>
      </c>
    </row>
    <row r="504" spans="2:14" x14ac:dyDescent="0.2">
      <c r="B504" s="67"/>
      <c r="C504" s="66"/>
      <c r="D504" s="66"/>
      <c r="E504" s="66"/>
      <c r="F504" s="213" t="s">
        <v>207</v>
      </c>
      <c r="G504" s="162">
        <v>20</v>
      </c>
      <c r="H504" s="162">
        <v>117</v>
      </c>
      <c r="I504" s="64">
        <v>5</v>
      </c>
      <c r="J504" s="64">
        <v>23</v>
      </c>
      <c r="K504" s="64">
        <v>4.7300000000000004</v>
      </c>
      <c r="L504" s="64">
        <v>100</v>
      </c>
      <c r="M504" s="64">
        <v>100</v>
      </c>
      <c r="N504" s="64">
        <v>100</v>
      </c>
    </row>
    <row r="505" spans="2:14" x14ac:dyDescent="0.2">
      <c r="B505" s="67"/>
      <c r="C505" s="236" t="s">
        <v>229</v>
      </c>
      <c r="D505" s="236"/>
      <c r="E505" s="236"/>
      <c r="F505" s="236"/>
      <c r="G505" s="71">
        <f t="shared" ref="G505:N505" si="133">G506+G524+G543+G564+G585+G610+G622+G638+G652</f>
        <v>30334439</v>
      </c>
      <c r="H505" s="71">
        <f t="shared" si="133"/>
        <v>25925487</v>
      </c>
      <c r="I505" s="71">
        <f t="shared" si="133"/>
        <v>29654905</v>
      </c>
      <c r="J505" s="71">
        <f t="shared" si="133"/>
        <v>30956101</v>
      </c>
      <c r="K505" s="71">
        <f t="shared" si="133"/>
        <v>32178955.499999993</v>
      </c>
      <c r="L505" s="71">
        <f t="shared" si="133"/>
        <v>40905274</v>
      </c>
      <c r="M505" s="71">
        <f t="shared" si="133"/>
        <v>38004663</v>
      </c>
      <c r="N505" s="71">
        <f t="shared" si="133"/>
        <v>40821891</v>
      </c>
    </row>
    <row r="506" spans="2:14" x14ac:dyDescent="0.2">
      <c r="B506" s="67"/>
      <c r="C506" s="66"/>
      <c r="D506" s="235" t="s">
        <v>230</v>
      </c>
      <c r="E506" s="237"/>
      <c r="F506" s="237"/>
      <c r="G506" s="74">
        <f t="shared" ref="G506:N506" si="134">G507+G513+G515</f>
        <v>1401165</v>
      </c>
      <c r="H506" s="74">
        <f t="shared" si="134"/>
        <v>1283588</v>
      </c>
      <c r="I506" s="74">
        <f t="shared" si="134"/>
        <v>1397446</v>
      </c>
      <c r="J506" s="74">
        <f t="shared" si="134"/>
        <v>1525638</v>
      </c>
      <c r="K506" s="74">
        <f t="shared" si="134"/>
        <v>1043792.28</v>
      </c>
      <c r="L506" s="74">
        <f t="shared" si="134"/>
        <v>2046157</v>
      </c>
      <c r="M506" s="74">
        <f t="shared" si="134"/>
        <v>1898966</v>
      </c>
      <c r="N506" s="74">
        <f t="shared" si="134"/>
        <v>2276674</v>
      </c>
    </row>
    <row r="507" spans="2:14" x14ac:dyDescent="0.2">
      <c r="B507" s="67"/>
      <c r="C507" s="66"/>
      <c r="D507" s="66"/>
      <c r="E507" s="233" t="s">
        <v>164</v>
      </c>
      <c r="F507" s="233"/>
      <c r="G507" s="75">
        <f t="shared" ref="G507:N507" si="135">SUM(G508:G512)</f>
        <v>627430</v>
      </c>
      <c r="H507" s="75">
        <f t="shared" si="135"/>
        <v>575023</v>
      </c>
      <c r="I507" s="75">
        <f t="shared" si="135"/>
        <v>333094</v>
      </c>
      <c r="J507" s="75">
        <f t="shared" si="135"/>
        <v>481750</v>
      </c>
      <c r="K507" s="75">
        <f t="shared" si="135"/>
        <v>665356.97</v>
      </c>
      <c r="L507" s="75">
        <f t="shared" si="135"/>
        <v>848547</v>
      </c>
      <c r="M507" s="75">
        <f t="shared" si="135"/>
        <v>819002</v>
      </c>
      <c r="N507" s="75">
        <f t="shared" si="135"/>
        <v>1027283</v>
      </c>
    </row>
    <row r="508" spans="2:14" x14ac:dyDescent="0.2">
      <c r="B508" s="67"/>
      <c r="C508" s="66"/>
      <c r="D508" s="66"/>
      <c r="E508" s="66"/>
      <c r="F508" s="213" t="s">
        <v>165</v>
      </c>
      <c r="G508" s="162">
        <v>589025</v>
      </c>
      <c r="H508" s="162">
        <v>519786</v>
      </c>
      <c r="I508" s="64">
        <v>489445</v>
      </c>
      <c r="J508" s="64">
        <v>459265</v>
      </c>
      <c r="K508" s="64">
        <v>632355.47</v>
      </c>
      <c r="L508" s="64">
        <v>799190</v>
      </c>
      <c r="M508" s="64">
        <v>768802</v>
      </c>
      <c r="N508" s="64">
        <v>976983</v>
      </c>
    </row>
    <row r="509" spans="2:14" x14ac:dyDescent="0.2">
      <c r="B509" s="67"/>
      <c r="C509" s="66"/>
      <c r="D509" s="66"/>
      <c r="E509" s="66"/>
      <c r="F509" s="213" t="s">
        <v>166</v>
      </c>
      <c r="G509" s="162">
        <v>38405</v>
      </c>
      <c r="H509" s="162">
        <v>55237</v>
      </c>
      <c r="I509" s="64">
        <v>33050</v>
      </c>
      <c r="J509" s="64">
        <v>29234</v>
      </c>
      <c r="K509" s="64">
        <v>33001.5</v>
      </c>
      <c r="L509" s="64">
        <v>48957</v>
      </c>
      <c r="M509" s="64">
        <v>50000</v>
      </c>
      <c r="N509" s="64">
        <v>50000</v>
      </c>
    </row>
    <row r="510" spans="2:14" x14ac:dyDescent="0.2">
      <c r="B510" s="67"/>
      <c r="C510" s="66"/>
      <c r="D510" s="66"/>
      <c r="E510" s="66"/>
      <c r="F510" s="213" t="s">
        <v>190</v>
      </c>
      <c r="G510" s="162">
        <v>0</v>
      </c>
      <c r="H510" s="162">
        <v>0</v>
      </c>
      <c r="I510" s="64">
        <v>572</v>
      </c>
      <c r="J510" s="64">
        <v>111</v>
      </c>
      <c r="K510" s="64">
        <v>0</v>
      </c>
      <c r="L510" s="64">
        <v>400</v>
      </c>
      <c r="M510" s="64">
        <v>200</v>
      </c>
      <c r="N510" s="64">
        <v>300</v>
      </c>
    </row>
    <row r="511" spans="2:14" x14ac:dyDescent="0.2">
      <c r="B511" s="67"/>
      <c r="C511" s="66"/>
      <c r="D511" s="66"/>
      <c r="E511" s="66"/>
      <c r="F511" s="213" t="s">
        <v>231</v>
      </c>
      <c r="G511" s="162">
        <v>0</v>
      </c>
      <c r="H511" s="162">
        <v>0</v>
      </c>
      <c r="I511" s="64">
        <v>5571</v>
      </c>
      <c r="J511" s="64">
        <v>0</v>
      </c>
      <c r="K511" s="64">
        <v>0</v>
      </c>
      <c r="L511" s="64">
        <v>0</v>
      </c>
      <c r="M511" s="64">
        <v>0</v>
      </c>
      <c r="N511" s="64">
        <v>0</v>
      </c>
    </row>
    <row r="512" spans="2:14" x14ac:dyDescent="0.2">
      <c r="B512" s="67"/>
      <c r="C512" s="66"/>
      <c r="D512" s="66"/>
      <c r="E512" s="66"/>
      <c r="F512" s="213" t="s">
        <v>179</v>
      </c>
      <c r="G512" s="162">
        <v>0</v>
      </c>
      <c r="H512" s="162">
        <v>0</v>
      </c>
      <c r="I512" s="64">
        <v>-195544</v>
      </c>
      <c r="J512" s="64">
        <v>-6860</v>
      </c>
      <c r="K512" s="64">
        <v>0</v>
      </c>
      <c r="L512" s="64">
        <v>0</v>
      </c>
      <c r="M512" s="64">
        <v>0</v>
      </c>
      <c r="N512" s="64">
        <v>0</v>
      </c>
    </row>
    <row r="513" spans="2:14" x14ac:dyDescent="0.2">
      <c r="B513" s="67"/>
      <c r="C513" s="66"/>
      <c r="D513" s="66"/>
      <c r="E513" s="235" t="s">
        <v>194</v>
      </c>
      <c r="F513" s="235"/>
      <c r="G513" s="74">
        <f t="shared" ref="G513:N513" si="136">G514</f>
        <v>0</v>
      </c>
      <c r="H513" s="74">
        <f t="shared" si="136"/>
        <v>0</v>
      </c>
      <c r="I513" s="74">
        <f t="shared" si="136"/>
        <v>0</v>
      </c>
      <c r="J513" s="74">
        <f t="shared" si="136"/>
        <v>0</v>
      </c>
      <c r="K513" s="74">
        <f t="shared" si="136"/>
        <v>0</v>
      </c>
      <c r="L513" s="74">
        <f t="shared" si="136"/>
        <v>800</v>
      </c>
      <c r="M513" s="74">
        <f t="shared" si="136"/>
        <v>1082</v>
      </c>
      <c r="N513" s="74">
        <f t="shared" si="136"/>
        <v>1000</v>
      </c>
    </row>
    <row r="514" spans="2:14" x14ac:dyDescent="0.2">
      <c r="B514" s="67"/>
      <c r="C514" s="66"/>
      <c r="D514" s="66"/>
      <c r="E514" s="66"/>
      <c r="F514" s="213" t="s">
        <v>168</v>
      </c>
      <c r="G514" s="162">
        <v>0</v>
      </c>
      <c r="H514" s="162">
        <v>0</v>
      </c>
      <c r="I514" s="64">
        <v>0</v>
      </c>
      <c r="J514" s="64">
        <v>0</v>
      </c>
      <c r="K514" s="64">
        <v>0</v>
      </c>
      <c r="L514" s="64">
        <v>800</v>
      </c>
      <c r="M514" s="64">
        <v>1082</v>
      </c>
      <c r="N514" s="64">
        <v>1000</v>
      </c>
    </row>
    <row r="515" spans="2:14" x14ac:dyDescent="0.2">
      <c r="B515" s="67"/>
      <c r="C515" s="66"/>
      <c r="D515" s="66"/>
      <c r="E515" s="235" t="s">
        <v>175</v>
      </c>
      <c r="F515" s="235"/>
      <c r="G515" s="74">
        <f t="shared" ref="G515:L515" si="137">SUM(G516:G523)</f>
        <v>773735</v>
      </c>
      <c r="H515" s="74">
        <f t="shared" si="137"/>
        <v>708565</v>
      </c>
      <c r="I515" s="74">
        <f t="shared" si="137"/>
        <v>1064352</v>
      </c>
      <c r="J515" s="74">
        <f t="shared" si="137"/>
        <v>1043888</v>
      </c>
      <c r="K515" s="74">
        <f t="shared" si="137"/>
        <v>378435.31</v>
      </c>
      <c r="L515" s="74">
        <f t="shared" si="137"/>
        <v>1196810</v>
      </c>
      <c r="M515" s="74">
        <f>SUM(M516:M523)</f>
        <v>1078882</v>
      </c>
      <c r="N515" s="74">
        <f>SUM(N516:N523)</f>
        <v>1248391</v>
      </c>
    </row>
    <row r="516" spans="2:14" x14ac:dyDescent="0.2">
      <c r="B516" s="67"/>
      <c r="C516" s="66"/>
      <c r="D516" s="66"/>
      <c r="E516" s="66"/>
      <c r="F516" s="213" t="s">
        <v>170</v>
      </c>
      <c r="G516" s="162">
        <v>11515</v>
      </c>
      <c r="H516" s="162">
        <v>8784</v>
      </c>
      <c r="I516" s="64">
        <v>11641</v>
      </c>
      <c r="J516" s="64">
        <v>20609</v>
      </c>
      <c r="K516" s="64">
        <f>12978.13+1755.63</f>
        <v>14733.759999999998</v>
      </c>
      <c r="L516" s="64">
        <v>22200</v>
      </c>
      <c r="M516" s="64">
        <v>19920</v>
      </c>
      <c r="N516" s="64">
        <v>15300</v>
      </c>
    </row>
    <row r="517" spans="2:14" x14ac:dyDescent="0.2">
      <c r="B517" s="67"/>
      <c r="C517" s="66"/>
      <c r="D517" s="66"/>
      <c r="E517" s="66"/>
      <c r="F517" s="213" t="s">
        <v>171</v>
      </c>
      <c r="G517" s="162">
        <v>650</v>
      </c>
      <c r="H517" s="162">
        <v>283</v>
      </c>
      <c r="I517" s="64">
        <v>0</v>
      </c>
      <c r="J517" s="64">
        <v>412</v>
      </c>
      <c r="K517" s="64">
        <f>341.16+200</f>
        <v>541.16000000000008</v>
      </c>
      <c r="L517" s="64">
        <v>1050</v>
      </c>
      <c r="M517" s="64">
        <v>1100</v>
      </c>
      <c r="N517" s="64">
        <v>51150</v>
      </c>
    </row>
    <row r="518" spans="2:14" x14ac:dyDescent="0.2">
      <c r="B518" s="67"/>
      <c r="C518" s="66"/>
      <c r="D518" s="66"/>
      <c r="E518" s="66"/>
      <c r="F518" s="213" t="s">
        <v>188</v>
      </c>
      <c r="G518" s="162">
        <v>636981</v>
      </c>
      <c r="H518" s="162">
        <v>655508</v>
      </c>
      <c r="I518" s="64">
        <v>996373</v>
      </c>
      <c r="J518" s="64">
        <v>979560</v>
      </c>
      <c r="K518" s="64">
        <f>163074.17+158204.24</f>
        <v>321278.41000000003</v>
      </c>
      <c r="L518" s="64">
        <v>1126060</v>
      </c>
      <c r="M518" s="64">
        <v>1014500</v>
      </c>
      <c r="N518" s="64">
        <v>1000789</v>
      </c>
    </row>
    <row r="519" spans="2:14" x14ac:dyDescent="0.2">
      <c r="B519" s="67"/>
      <c r="C519" s="66"/>
      <c r="D519" s="66"/>
      <c r="E519" s="66"/>
      <c r="F519" s="213" t="s">
        <v>172</v>
      </c>
      <c r="G519" s="162">
        <v>118992</v>
      </c>
      <c r="H519" s="162">
        <v>43430</v>
      </c>
      <c r="I519" s="64">
        <v>52016</v>
      </c>
      <c r="J519" s="64">
        <v>27834</v>
      </c>
      <c r="K519" s="64">
        <v>28207.5</v>
      </c>
      <c r="L519" s="64">
        <v>38500</v>
      </c>
      <c r="M519" s="64">
        <v>33462</v>
      </c>
      <c r="N519" s="64">
        <v>38500</v>
      </c>
    </row>
    <row r="520" spans="2:14" x14ac:dyDescent="0.2">
      <c r="B520" s="67"/>
      <c r="C520" s="66"/>
      <c r="D520" s="66"/>
      <c r="E520" s="66"/>
      <c r="F520" s="213" t="s">
        <v>173</v>
      </c>
      <c r="G520" s="162">
        <v>5597</v>
      </c>
      <c r="H520" s="162">
        <v>560</v>
      </c>
      <c r="I520" s="64">
        <v>4322</v>
      </c>
      <c r="J520" s="64">
        <v>15473</v>
      </c>
      <c r="K520" s="64">
        <f>8744.91+4295.57+634</f>
        <v>13674.48</v>
      </c>
      <c r="L520" s="64">
        <v>9000</v>
      </c>
      <c r="M520" s="64">
        <v>8700</v>
      </c>
      <c r="N520" s="64">
        <v>9000</v>
      </c>
    </row>
    <row r="521" spans="2:14" x14ac:dyDescent="0.2">
      <c r="B521" s="67"/>
      <c r="C521" s="66"/>
      <c r="D521" s="66"/>
      <c r="E521" s="66"/>
      <c r="F521" s="213" t="s">
        <v>181</v>
      </c>
      <c r="G521" s="162">
        <v>0</v>
      </c>
      <c r="H521" s="162">
        <v>0</v>
      </c>
      <c r="I521" s="162">
        <v>0</v>
      </c>
      <c r="J521" s="162">
        <v>0</v>
      </c>
      <c r="K521" s="162">
        <v>0</v>
      </c>
      <c r="L521" s="162">
        <v>0</v>
      </c>
      <c r="M521" s="64">
        <v>0</v>
      </c>
      <c r="N521" s="64">
        <v>131152</v>
      </c>
    </row>
    <row r="522" spans="2:14" x14ac:dyDescent="0.2">
      <c r="B522" s="67"/>
      <c r="C522" s="66"/>
      <c r="D522" s="66"/>
      <c r="E522" s="66"/>
      <c r="F522" s="213" t="s">
        <v>182</v>
      </c>
      <c r="G522" s="162">
        <v>0</v>
      </c>
      <c r="H522" s="162">
        <v>0</v>
      </c>
      <c r="I522" s="162">
        <v>0</v>
      </c>
      <c r="J522" s="162">
        <v>0</v>
      </c>
      <c r="K522" s="162">
        <v>0</v>
      </c>
      <c r="L522" s="162">
        <v>0</v>
      </c>
      <c r="M522" s="64">
        <v>0</v>
      </c>
      <c r="N522" s="64">
        <v>1000</v>
      </c>
    </row>
    <row r="523" spans="2:14" x14ac:dyDescent="0.2">
      <c r="B523" s="67"/>
      <c r="C523" s="66"/>
      <c r="D523" s="66"/>
      <c r="E523" s="66"/>
      <c r="F523" s="213" t="s">
        <v>207</v>
      </c>
      <c r="G523" s="162">
        <v>0</v>
      </c>
      <c r="H523" s="162">
        <v>0</v>
      </c>
      <c r="I523" s="162">
        <v>0</v>
      </c>
      <c r="J523" s="162">
        <v>0</v>
      </c>
      <c r="K523" s="162">
        <v>0</v>
      </c>
      <c r="L523" s="162">
        <v>0</v>
      </c>
      <c r="M523" s="64">
        <v>1200</v>
      </c>
      <c r="N523" s="64">
        <v>1500</v>
      </c>
    </row>
    <row r="524" spans="2:14" x14ac:dyDescent="0.2">
      <c r="B524" s="67"/>
      <c r="C524" s="66"/>
      <c r="D524" s="233" t="s">
        <v>232</v>
      </c>
      <c r="E524" s="234"/>
      <c r="F524" s="234"/>
      <c r="G524" s="79">
        <f t="shared" ref="G524:N524" si="138">G525+G535+G537</f>
        <v>741866</v>
      </c>
      <c r="H524" s="79">
        <f t="shared" si="138"/>
        <v>679560</v>
      </c>
      <c r="I524" s="79">
        <f t="shared" si="138"/>
        <v>808967</v>
      </c>
      <c r="J524" s="79">
        <f t="shared" si="138"/>
        <v>932896</v>
      </c>
      <c r="K524" s="79">
        <f t="shared" si="138"/>
        <v>1077756.6200000001</v>
      </c>
      <c r="L524" s="79">
        <f t="shared" si="138"/>
        <v>1639658</v>
      </c>
      <c r="M524" s="79">
        <f t="shared" si="138"/>
        <v>1211037</v>
      </c>
      <c r="N524" s="79">
        <f t="shared" si="138"/>
        <v>1319805</v>
      </c>
    </row>
    <row r="525" spans="2:14" x14ac:dyDescent="0.2">
      <c r="B525" s="67"/>
      <c r="C525" s="66"/>
      <c r="D525" s="66"/>
      <c r="E525" s="238" t="s">
        <v>206</v>
      </c>
      <c r="F525" s="238"/>
      <c r="G525" s="80">
        <f t="shared" ref="G525:N525" si="139">SUM(G526:G534)</f>
        <v>714255</v>
      </c>
      <c r="H525" s="80">
        <f t="shared" si="139"/>
        <v>652531</v>
      </c>
      <c r="I525" s="80">
        <f t="shared" si="139"/>
        <v>798139</v>
      </c>
      <c r="J525" s="80">
        <f t="shared" si="139"/>
        <v>926112</v>
      </c>
      <c r="K525" s="80">
        <f t="shared" si="139"/>
        <v>1071653.07</v>
      </c>
      <c r="L525" s="80">
        <f t="shared" si="139"/>
        <v>1261158</v>
      </c>
      <c r="M525" s="80">
        <f t="shared" si="139"/>
        <v>1197287</v>
      </c>
      <c r="N525" s="80">
        <f t="shared" si="139"/>
        <v>1303405</v>
      </c>
    </row>
    <row r="526" spans="2:14" x14ac:dyDescent="0.2">
      <c r="B526" s="67"/>
      <c r="C526" s="66"/>
      <c r="D526" s="66"/>
      <c r="E526" s="66"/>
      <c r="F526" s="213" t="s">
        <v>165</v>
      </c>
      <c r="G526" s="162">
        <v>109803</v>
      </c>
      <c r="H526" s="162">
        <v>100120</v>
      </c>
      <c r="I526" s="70">
        <v>290269</v>
      </c>
      <c r="J526" s="70">
        <v>360791</v>
      </c>
      <c r="K526" s="70">
        <v>355421.44</v>
      </c>
      <c r="L526" s="70">
        <v>370215</v>
      </c>
      <c r="M526" s="70">
        <v>348768</v>
      </c>
      <c r="N526" s="70">
        <v>402062</v>
      </c>
    </row>
    <row r="527" spans="2:14" x14ac:dyDescent="0.2">
      <c r="B527" s="67"/>
      <c r="C527" s="66"/>
      <c r="D527" s="66"/>
      <c r="E527" s="66"/>
      <c r="F527" s="213" t="s">
        <v>233</v>
      </c>
      <c r="G527" s="162">
        <v>563776</v>
      </c>
      <c r="H527" s="162">
        <v>525391</v>
      </c>
      <c r="I527" s="64">
        <v>444070</v>
      </c>
      <c r="J527" s="64">
        <v>435592</v>
      </c>
      <c r="K527" s="64">
        <v>487713.46</v>
      </c>
      <c r="L527" s="64">
        <v>682043</v>
      </c>
      <c r="M527" s="64">
        <v>588819</v>
      </c>
      <c r="N527" s="64">
        <v>668943</v>
      </c>
    </row>
    <row r="528" spans="2:14" x14ac:dyDescent="0.2">
      <c r="B528" s="67"/>
      <c r="C528" s="66"/>
      <c r="D528" s="66"/>
      <c r="E528" s="66"/>
      <c r="F528" s="213" t="s">
        <v>166</v>
      </c>
      <c r="G528" s="162">
        <v>7009</v>
      </c>
      <c r="H528" s="162">
        <v>19200</v>
      </c>
      <c r="I528" s="64">
        <v>23999</v>
      </c>
      <c r="J528" s="64">
        <v>28632</v>
      </c>
      <c r="K528" s="64">
        <v>66408.399999999994</v>
      </c>
      <c r="L528" s="64">
        <v>124800</v>
      </c>
      <c r="M528" s="64">
        <v>93600</v>
      </c>
      <c r="N528" s="64">
        <v>109200</v>
      </c>
    </row>
    <row r="529" spans="2:14" x14ac:dyDescent="0.2">
      <c r="B529" s="67"/>
      <c r="C529" s="66"/>
      <c r="D529" s="66"/>
      <c r="E529" s="66"/>
      <c r="F529" s="213" t="s">
        <v>190</v>
      </c>
      <c r="G529" s="162">
        <v>28432</v>
      </c>
      <c r="H529" s="162">
        <v>6828</v>
      </c>
      <c r="I529" s="64">
        <v>50136</v>
      </c>
      <c r="J529" s="64">
        <v>87461</v>
      </c>
      <c r="K529" s="64">
        <v>143643.76999999999</v>
      </c>
      <c r="L529" s="64">
        <v>60000</v>
      </c>
      <c r="M529" s="64">
        <v>150000</v>
      </c>
      <c r="N529" s="64">
        <v>100000</v>
      </c>
    </row>
    <row r="530" spans="2:14" x14ac:dyDescent="0.2">
      <c r="B530" s="67"/>
      <c r="C530" s="66"/>
      <c r="D530" s="66"/>
      <c r="E530" s="66"/>
      <c r="F530" s="213" t="s">
        <v>234</v>
      </c>
      <c r="G530" s="162">
        <v>44</v>
      </c>
      <c r="H530" s="162">
        <v>36</v>
      </c>
      <c r="I530" s="64">
        <v>701</v>
      </c>
      <c r="J530" s="64">
        <v>1013</v>
      </c>
      <c r="K530" s="64">
        <v>1196.5</v>
      </c>
      <c r="L530" s="64">
        <v>0</v>
      </c>
      <c r="M530" s="64">
        <v>1000</v>
      </c>
      <c r="N530" s="64">
        <v>1100</v>
      </c>
    </row>
    <row r="531" spans="2:14" x14ac:dyDescent="0.2">
      <c r="B531" s="67"/>
      <c r="C531" s="66"/>
      <c r="D531" s="66"/>
      <c r="E531" s="66"/>
      <c r="F531" s="213" t="s">
        <v>178</v>
      </c>
      <c r="G531" s="162">
        <v>1691</v>
      </c>
      <c r="H531" s="162">
        <v>4444</v>
      </c>
      <c r="I531" s="64">
        <v>17405</v>
      </c>
      <c r="J531" s="64">
        <v>4973</v>
      </c>
      <c r="K531" s="64">
        <v>7769.5</v>
      </c>
      <c r="L531" s="64">
        <v>10000</v>
      </c>
      <c r="M531" s="64">
        <v>5000</v>
      </c>
      <c r="N531" s="64">
        <v>8000</v>
      </c>
    </row>
    <row r="532" spans="2:14" x14ac:dyDescent="0.2">
      <c r="B532" s="67"/>
      <c r="C532" s="66"/>
      <c r="D532" s="66"/>
      <c r="E532" s="66"/>
      <c r="F532" s="213" t="s">
        <v>225</v>
      </c>
      <c r="G532" s="162">
        <v>3500</v>
      </c>
      <c r="H532" s="162">
        <v>3750</v>
      </c>
      <c r="I532" s="64">
        <v>3000</v>
      </c>
      <c r="J532" s="64">
        <v>3250</v>
      </c>
      <c r="K532" s="64">
        <v>3500</v>
      </c>
      <c r="L532" s="64">
        <v>4500</v>
      </c>
      <c r="M532" s="64">
        <v>3500</v>
      </c>
      <c r="N532" s="64">
        <v>4500</v>
      </c>
    </row>
    <row r="533" spans="2:14" x14ac:dyDescent="0.2">
      <c r="B533" s="67"/>
      <c r="C533" s="66"/>
      <c r="D533" s="66"/>
      <c r="E533" s="66"/>
      <c r="F533" s="213" t="s">
        <v>235</v>
      </c>
      <c r="G533" s="162">
        <v>0</v>
      </c>
      <c r="H533" s="162">
        <v>0</v>
      </c>
      <c r="I533" s="64">
        <v>0</v>
      </c>
      <c r="J533" s="64">
        <v>4400</v>
      </c>
      <c r="K533" s="64">
        <v>6000</v>
      </c>
      <c r="L533" s="64">
        <v>9600</v>
      </c>
      <c r="M533" s="64">
        <v>6600</v>
      </c>
      <c r="N533" s="64">
        <v>9600</v>
      </c>
    </row>
    <row r="534" spans="2:14" x14ac:dyDescent="0.2">
      <c r="B534" s="67"/>
      <c r="C534" s="66"/>
      <c r="D534" s="66"/>
      <c r="E534" s="66"/>
      <c r="F534" s="213" t="s">
        <v>179</v>
      </c>
      <c r="G534" s="162">
        <v>0</v>
      </c>
      <c r="H534" s="162">
        <v>-7238</v>
      </c>
      <c r="I534" s="64">
        <v>-31441</v>
      </c>
      <c r="J534" s="64">
        <v>0</v>
      </c>
      <c r="K534" s="64">
        <v>0</v>
      </c>
      <c r="L534" s="64">
        <v>0</v>
      </c>
      <c r="M534" s="64">
        <v>0</v>
      </c>
      <c r="N534" s="64">
        <v>0</v>
      </c>
    </row>
    <row r="535" spans="2:14" x14ac:dyDescent="0.2">
      <c r="B535" s="67"/>
      <c r="C535" s="66"/>
      <c r="D535" s="66"/>
      <c r="E535" s="243" t="s">
        <v>194</v>
      </c>
      <c r="F535" s="243"/>
      <c r="G535" s="65">
        <f t="shared" ref="G535:N535" si="140">G536</f>
        <v>0</v>
      </c>
      <c r="H535" s="65">
        <f t="shared" si="140"/>
        <v>3202</v>
      </c>
      <c r="I535" s="65">
        <f t="shared" si="140"/>
        <v>728</v>
      </c>
      <c r="J535" s="65">
        <f t="shared" si="140"/>
        <v>1211</v>
      </c>
      <c r="K535" s="65">
        <f t="shared" si="140"/>
        <v>0</v>
      </c>
      <c r="L535" s="65">
        <f t="shared" si="140"/>
        <v>10000</v>
      </c>
      <c r="M535" s="65">
        <f t="shared" si="140"/>
        <v>0</v>
      </c>
      <c r="N535" s="65">
        <f t="shared" si="140"/>
        <v>0</v>
      </c>
    </row>
    <row r="536" spans="2:14" x14ac:dyDescent="0.2">
      <c r="B536" s="67"/>
      <c r="C536" s="66"/>
      <c r="D536" s="66"/>
      <c r="E536" s="66"/>
      <c r="F536" s="210" t="s">
        <v>200</v>
      </c>
      <c r="G536" s="162">
        <v>0</v>
      </c>
      <c r="H536" s="162">
        <v>3202</v>
      </c>
      <c r="I536" s="70">
        <v>728</v>
      </c>
      <c r="J536" s="70">
        <v>1211</v>
      </c>
      <c r="K536" s="70">
        <v>0</v>
      </c>
      <c r="L536" s="70">
        <v>10000</v>
      </c>
      <c r="M536" s="70">
        <v>0</v>
      </c>
      <c r="N536" s="70">
        <v>0</v>
      </c>
    </row>
    <row r="537" spans="2:14" x14ac:dyDescent="0.2">
      <c r="B537" s="67"/>
      <c r="C537" s="66"/>
      <c r="D537" s="66"/>
      <c r="E537" s="238" t="s">
        <v>236</v>
      </c>
      <c r="F537" s="238"/>
      <c r="G537" s="77">
        <f>SUM(G538:G542)</f>
        <v>27611</v>
      </c>
      <c r="H537" s="77">
        <f t="shared" ref="H537:N537" si="141">SUM(H538:H542)</f>
        <v>23827</v>
      </c>
      <c r="I537" s="77">
        <f t="shared" si="141"/>
        <v>10100</v>
      </c>
      <c r="J537" s="77">
        <f t="shared" si="141"/>
        <v>5573</v>
      </c>
      <c r="K537" s="77">
        <f t="shared" si="141"/>
        <v>6103.55</v>
      </c>
      <c r="L537" s="77">
        <f t="shared" si="141"/>
        <v>368500</v>
      </c>
      <c r="M537" s="77">
        <f t="shared" si="141"/>
        <v>13750</v>
      </c>
      <c r="N537" s="77">
        <f t="shared" si="141"/>
        <v>16400</v>
      </c>
    </row>
    <row r="538" spans="2:14" x14ac:dyDescent="0.2">
      <c r="B538" s="67"/>
      <c r="C538" s="66"/>
      <c r="D538" s="66"/>
      <c r="E538" s="214"/>
      <c r="F538" s="213" t="s">
        <v>170</v>
      </c>
      <c r="G538" s="167">
        <v>483</v>
      </c>
      <c r="H538" s="167">
        <v>0</v>
      </c>
      <c r="I538" s="167">
        <v>0</v>
      </c>
      <c r="J538" s="167">
        <v>0</v>
      </c>
      <c r="K538" s="167">
        <v>0</v>
      </c>
      <c r="L538" s="167">
        <v>0</v>
      </c>
      <c r="M538" s="167">
        <v>0</v>
      </c>
      <c r="N538" s="167">
        <v>0</v>
      </c>
    </row>
    <row r="539" spans="2:14" x14ac:dyDescent="0.2">
      <c r="B539" s="67"/>
      <c r="C539" s="66"/>
      <c r="D539" s="66"/>
      <c r="E539" s="66"/>
      <c r="F539" s="213" t="s">
        <v>171</v>
      </c>
      <c r="G539" s="162">
        <v>24842</v>
      </c>
      <c r="H539" s="162">
        <v>21234</v>
      </c>
      <c r="I539" s="70">
        <v>8779</v>
      </c>
      <c r="J539" s="70">
        <v>3956</v>
      </c>
      <c r="K539" s="70">
        <f>1997.38+1502.43+1150+6.7</f>
        <v>4656.51</v>
      </c>
      <c r="L539" s="70">
        <v>363300</v>
      </c>
      <c r="M539" s="70">
        <v>9250</v>
      </c>
      <c r="N539" s="70">
        <v>11200</v>
      </c>
    </row>
    <row r="540" spans="2:14" x14ac:dyDescent="0.2">
      <c r="B540" s="67"/>
      <c r="C540" s="66"/>
      <c r="D540" s="66"/>
      <c r="E540" s="66"/>
      <c r="F540" s="213" t="s">
        <v>201</v>
      </c>
      <c r="G540" s="162">
        <v>0</v>
      </c>
      <c r="H540" s="162">
        <v>0</v>
      </c>
      <c r="I540" s="64">
        <v>0</v>
      </c>
      <c r="J540" s="64">
        <v>128</v>
      </c>
      <c r="K540" s="64">
        <v>0</v>
      </c>
      <c r="L540" s="64">
        <v>2000</v>
      </c>
      <c r="M540" s="64">
        <v>1800</v>
      </c>
      <c r="N540" s="64">
        <v>2000</v>
      </c>
    </row>
    <row r="541" spans="2:14" x14ac:dyDescent="0.2">
      <c r="B541" s="67"/>
      <c r="C541" s="66"/>
      <c r="D541" s="66"/>
      <c r="E541" s="66"/>
      <c r="F541" s="213" t="s">
        <v>226</v>
      </c>
      <c r="G541" s="162">
        <v>2286</v>
      </c>
      <c r="H541" s="162">
        <v>1369</v>
      </c>
      <c r="I541" s="64">
        <v>1321</v>
      </c>
      <c r="J541" s="64">
        <v>1489</v>
      </c>
      <c r="K541" s="64">
        <v>997.04</v>
      </c>
      <c r="L541" s="64">
        <v>3200</v>
      </c>
      <c r="M541" s="64">
        <v>2700</v>
      </c>
      <c r="N541" s="64">
        <v>3200</v>
      </c>
    </row>
    <row r="542" spans="2:14" x14ac:dyDescent="0.2">
      <c r="B542" s="67"/>
      <c r="C542" s="66"/>
      <c r="D542" s="66"/>
      <c r="E542" s="66"/>
      <c r="F542" s="213" t="s">
        <v>173</v>
      </c>
      <c r="G542" s="162">
        <v>0</v>
      </c>
      <c r="H542" s="162">
        <v>1224</v>
      </c>
      <c r="I542" s="64">
        <v>0</v>
      </c>
      <c r="J542" s="64">
        <v>0</v>
      </c>
      <c r="K542" s="64">
        <v>450</v>
      </c>
      <c r="L542" s="64">
        <v>0</v>
      </c>
      <c r="M542" s="64">
        <v>0</v>
      </c>
      <c r="N542" s="64">
        <v>0</v>
      </c>
    </row>
    <row r="543" spans="2:14" x14ac:dyDescent="0.2">
      <c r="B543" s="67"/>
      <c r="C543" s="66"/>
      <c r="D543" s="233" t="s">
        <v>237</v>
      </c>
      <c r="E543" s="234"/>
      <c r="F543" s="234"/>
      <c r="G543" s="79">
        <f t="shared" ref="G543:N543" si="142">G544+G555+G557</f>
        <v>3725814</v>
      </c>
      <c r="H543" s="79">
        <f t="shared" si="142"/>
        <v>3230108</v>
      </c>
      <c r="I543" s="79">
        <f t="shared" si="142"/>
        <v>3828562</v>
      </c>
      <c r="J543" s="79">
        <f t="shared" si="142"/>
        <v>4210972</v>
      </c>
      <c r="K543" s="79">
        <f t="shared" si="142"/>
        <v>4229436.8599999994</v>
      </c>
      <c r="L543" s="79">
        <f t="shared" si="142"/>
        <v>4536713</v>
      </c>
      <c r="M543" s="79">
        <f t="shared" si="142"/>
        <v>4490809</v>
      </c>
      <c r="N543" s="79">
        <f t="shared" si="142"/>
        <v>4357453</v>
      </c>
    </row>
    <row r="544" spans="2:14" x14ac:dyDescent="0.2">
      <c r="B544" s="67"/>
      <c r="C544" s="66"/>
      <c r="D544" s="66"/>
      <c r="E544" s="238" t="s">
        <v>206</v>
      </c>
      <c r="F544" s="238"/>
      <c r="G544" s="80">
        <f t="shared" ref="G544:N544" si="143">SUM(G545:G554)</f>
        <v>3276384</v>
      </c>
      <c r="H544" s="80">
        <f t="shared" si="143"/>
        <v>2976399</v>
      </c>
      <c r="I544" s="80">
        <f t="shared" si="143"/>
        <v>3481774</v>
      </c>
      <c r="J544" s="80">
        <f t="shared" si="143"/>
        <v>3856273</v>
      </c>
      <c r="K544" s="80">
        <f t="shared" si="143"/>
        <v>3918591.8799999994</v>
      </c>
      <c r="L544" s="80">
        <f t="shared" si="143"/>
        <v>4089313</v>
      </c>
      <c r="M544" s="80">
        <f t="shared" si="143"/>
        <v>4125564</v>
      </c>
      <c r="N544" s="80">
        <f t="shared" si="143"/>
        <v>3934453</v>
      </c>
    </row>
    <row r="545" spans="2:14" x14ac:dyDescent="0.2">
      <c r="B545" s="67"/>
      <c r="C545" s="66"/>
      <c r="D545" s="66"/>
      <c r="E545" s="66"/>
      <c r="F545" s="213" t="s">
        <v>165</v>
      </c>
      <c r="G545" s="162">
        <v>175927</v>
      </c>
      <c r="H545" s="162">
        <v>174490</v>
      </c>
      <c r="I545" s="70">
        <v>93879</v>
      </c>
      <c r="J545" s="70">
        <v>170876</v>
      </c>
      <c r="K545" s="70">
        <v>175146.29</v>
      </c>
      <c r="L545" s="70">
        <v>166256</v>
      </c>
      <c r="M545" s="70">
        <v>179546</v>
      </c>
      <c r="N545" s="70">
        <v>184663</v>
      </c>
    </row>
    <row r="546" spans="2:14" x14ac:dyDescent="0.2">
      <c r="B546" s="67"/>
      <c r="C546" s="66"/>
      <c r="D546" s="66"/>
      <c r="E546" s="66"/>
      <c r="F546" s="213" t="s">
        <v>233</v>
      </c>
      <c r="G546" s="162">
        <v>2414018</v>
      </c>
      <c r="H546" s="162">
        <v>2276402</v>
      </c>
      <c r="I546" s="64">
        <v>2363571</v>
      </c>
      <c r="J546" s="64">
        <v>2701387</v>
      </c>
      <c r="K546" s="64">
        <v>2822351.67</v>
      </c>
      <c r="L546" s="64">
        <v>2866857</v>
      </c>
      <c r="M546" s="64">
        <v>3105416</v>
      </c>
      <c r="N546" s="64">
        <v>2874238</v>
      </c>
    </row>
    <row r="547" spans="2:14" x14ac:dyDescent="0.2">
      <c r="B547" s="67"/>
      <c r="C547" s="66"/>
      <c r="D547" s="66"/>
      <c r="E547" s="66"/>
      <c r="F547" s="213" t="s">
        <v>166</v>
      </c>
      <c r="G547" s="162">
        <v>449295</v>
      </c>
      <c r="H547" s="162">
        <v>384037</v>
      </c>
      <c r="I547" s="64">
        <v>678623</v>
      </c>
      <c r="J547" s="64">
        <v>654846</v>
      </c>
      <c r="K547" s="64">
        <v>429180.75</v>
      </c>
      <c r="L547" s="64">
        <v>675000</v>
      </c>
      <c r="M547" s="64">
        <v>475000</v>
      </c>
      <c r="N547" s="64">
        <v>500000</v>
      </c>
    </row>
    <row r="548" spans="2:14" x14ac:dyDescent="0.2">
      <c r="B548" s="67"/>
      <c r="C548" s="66"/>
      <c r="D548" s="66"/>
      <c r="E548" s="66"/>
      <c r="F548" s="213" t="s">
        <v>190</v>
      </c>
      <c r="G548" s="162">
        <v>185794</v>
      </c>
      <c r="H548" s="162">
        <v>126384</v>
      </c>
      <c r="I548" s="64">
        <v>273562</v>
      </c>
      <c r="J548" s="64">
        <v>288905</v>
      </c>
      <c r="K548" s="64">
        <v>447652.55</v>
      </c>
      <c r="L548" s="64">
        <v>305000</v>
      </c>
      <c r="M548" s="64">
        <v>310000</v>
      </c>
      <c r="N548" s="64">
        <v>315000</v>
      </c>
    </row>
    <row r="549" spans="2:14" x14ac:dyDescent="0.2">
      <c r="B549" s="67"/>
      <c r="C549" s="66"/>
      <c r="D549" s="66"/>
      <c r="E549" s="66"/>
      <c r="F549" s="213" t="s">
        <v>234</v>
      </c>
      <c r="G549" s="162">
        <v>1174</v>
      </c>
      <c r="H549" s="162">
        <v>1315</v>
      </c>
      <c r="I549" s="64">
        <v>1667</v>
      </c>
      <c r="J549" s="64">
        <v>2102</v>
      </c>
      <c r="K549" s="64">
        <v>1786.01</v>
      </c>
      <c r="L549" s="64">
        <v>0</v>
      </c>
      <c r="M549" s="64">
        <v>2000</v>
      </c>
      <c r="N549" s="64">
        <v>2000</v>
      </c>
    </row>
    <row r="550" spans="2:14" x14ac:dyDescent="0.2">
      <c r="B550" s="67"/>
      <c r="C550" s="66"/>
      <c r="D550" s="66"/>
      <c r="E550" s="66"/>
      <c r="F550" s="213" t="s">
        <v>238</v>
      </c>
      <c r="G550" s="162">
        <v>1000</v>
      </c>
      <c r="H550" s="162">
        <v>1000</v>
      </c>
      <c r="I550" s="64">
        <v>1000</v>
      </c>
      <c r="J550" s="64">
        <v>1418</v>
      </c>
      <c r="K550" s="64">
        <v>1050</v>
      </c>
      <c r="L550" s="64">
        <v>2800</v>
      </c>
      <c r="M550" s="64">
        <v>1400</v>
      </c>
      <c r="N550" s="64">
        <v>2100</v>
      </c>
    </row>
    <row r="551" spans="2:14" x14ac:dyDescent="0.2">
      <c r="B551" s="67"/>
      <c r="C551" s="66"/>
      <c r="D551" s="66"/>
      <c r="E551" s="66"/>
      <c r="F551" s="213" t="s">
        <v>178</v>
      </c>
      <c r="G551" s="162">
        <v>39426</v>
      </c>
      <c r="H551" s="162">
        <v>39349</v>
      </c>
      <c r="I551" s="64">
        <v>60647</v>
      </c>
      <c r="J551" s="64">
        <v>13589</v>
      </c>
      <c r="K551" s="64">
        <v>21541.599999999999</v>
      </c>
      <c r="L551" s="64">
        <v>40000</v>
      </c>
      <c r="M551" s="64">
        <v>28000</v>
      </c>
      <c r="N551" s="64">
        <v>30000</v>
      </c>
    </row>
    <row r="552" spans="2:14" x14ac:dyDescent="0.2">
      <c r="B552" s="67"/>
      <c r="C552" s="66"/>
      <c r="D552" s="66"/>
      <c r="E552" s="66"/>
      <c r="F552" s="213" t="s">
        <v>225</v>
      </c>
      <c r="G552" s="162">
        <v>9750</v>
      </c>
      <c r="H552" s="162">
        <v>9967</v>
      </c>
      <c r="I552" s="64">
        <v>8825</v>
      </c>
      <c r="J552" s="64">
        <v>17750</v>
      </c>
      <c r="K552" s="64">
        <v>19500</v>
      </c>
      <c r="L552" s="64">
        <v>19000</v>
      </c>
      <c r="M552" s="64">
        <v>17002</v>
      </c>
      <c r="N552" s="64">
        <v>19252</v>
      </c>
    </row>
    <row r="553" spans="2:14" x14ac:dyDescent="0.2">
      <c r="B553" s="67"/>
      <c r="C553" s="66"/>
      <c r="D553" s="66"/>
      <c r="E553" s="66"/>
      <c r="F553" s="213" t="s">
        <v>235</v>
      </c>
      <c r="G553" s="162">
        <v>0</v>
      </c>
      <c r="H553" s="162">
        <v>0</v>
      </c>
      <c r="I553" s="64">
        <v>0</v>
      </c>
      <c r="J553" s="64">
        <v>5400</v>
      </c>
      <c r="K553" s="64">
        <v>5950</v>
      </c>
      <c r="L553" s="64">
        <v>14400</v>
      </c>
      <c r="M553" s="64">
        <v>7200</v>
      </c>
      <c r="N553" s="64">
        <v>7200</v>
      </c>
    </row>
    <row r="554" spans="2:14" x14ac:dyDescent="0.2">
      <c r="B554" s="67"/>
      <c r="C554" s="66"/>
      <c r="D554" s="66"/>
      <c r="E554" s="66"/>
      <c r="F554" s="213" t="s">
        <v>179</v>
      </c>
      <c r="G554" s="162">
        <v>0</v>
      </c>
      <c r="H554" s="162">
        <v>-36545</v>
      </c>
      <c r="I554" s="64">
        <v>0</v>
      </c>
      <c r="J554" s="64">
        <v>0</v>
      </c>
      <c r="K554" s="64">
        <v>-5566.99</v>
      </c>
      <c r="L554" s="64">
        <v>0</v>
      </c>
      <c r="M554" s="64">
        <v>0</v>
      </c>
      <c r="N554" s="64">
        <v>0</v>
      </c>
    </row>
    <row r="555" spans="2:14" x14ac:dyDescent="0.2">
      <c r="B555" s="67"/>
      <c r="C555" s="66"/>
      <c r="D555" s="66"/>
      <c r="E555" s="235" t="s">
        <v>194</v>
      </c>
      <c r="F555" s="235"/>
      <c r="G555" s="65">
        <f t="shared" ref="G555:N555" si="144">G556</f>
        <v>5796</v>
      </c>
      <c r="H555" s="65">
        <f t="shared" si="144"/>
        <v>0</v>
      </c>
      <c r="I555" s="65">
        <f t="shared" si="144"/>
        <v>0</v>
      </c>
      <c r="J555" s="65">
        <f t="shared" si="144"/>
        <v>12765</v>
      </c>
      <c r="K555" s="65">
        <f t="shared" si="144"/>
        <v>0</v>
      </c>
      <c r="L555" s="65">
        <f t="shared" si="144"/>
        <v>0</v>
      </c>
      <c r="M555" s="65">
        <f t="shared" si="144"/>
        <v>0</v>
      </c>
      <c r="N555" s="65">
        <f t="shared" si="144"/>
        <v>0</v>
      </c>
    </row>
    <row r="556" spans="2:14" x14ac:dyDescent="0.2">
      <c r="B556" s="67"/>
      <c r="C556" s="66"/>
      <c r="D556" s="66"/>
      <c r="E556" s="66"/>
      <c r="F556" s="210" t="s">
        <v>200</v>
      </c>
      <c r="G556" s="162">
        <v>5796</v>
      </c>
      <c r="H556" s="162">
        <v>0</v>
      </c>
      <c r="I556" s="70">
        <v>0</v>
      </c>
      <c r="J556" s="70">
        <v>12765</v>
      </c>
      <c r="K556" s="70">
        <v>0</v>
      </c>
      <c r="L556" s="70">
        <v>0</v>
      </c>
      <c r="M556" s="70">
        <v>0</v>
      </c>
      <c r="N556" s="70">
        <v>0</v>
      </c>
    </row>
    <row r="557" spans="2:14" x14ac:dyDescent="0.2">
      <c r="B557" s="67"/>
      <c r="C557" s="66"/>
      <c r="D557" s="66"/>
      <c r="E557" s="238" t="s">
        <v>195</v>
      </c>
      <c r="F557" s="238"/>
      <c r="G557" s="77">
        <f t="shared" ref="G557:N557" si="145">SUM(G558:G563)</f>
        <v>443634</v>
      </c>
      <c r="H557" s="77">
        <f t="shared" si="145"/>
        <v>253709</v>
      </c>
      <c r="I557" s="77">
        <f t="shared" si="145"/>
        <v>346788</v>
      </c>
      <c r="J557" s="77">
        <f t="shared" si="145"/>
        <v>341934</v>
      </c>
      <c r="K557" s="77">
        <f t="shared" si="145"/>
        <v>310844.98000000004</v>
      </c>
      <c r="L557" s="77">
        <f t="shared" si="145"/>
        <v>447400</v>
      </c>
      <c r="M557" s="77">
        <f t="shared" si="145"/>
        <v>365245</v>
      </c>
      <c r="N557" s="77">
        <f t="shared" si="145"/>
        <v>423000</v>
      </c>
    </row>
    <row r="558" spans="2:14" x14ac:dyDescent="0.2">
      <c r="B558" s="67"/>
      <c r="C558" s="66"/>
      <c r="D558" s="66"/>
      <c r="E558" s="66"/>
      <c r="F558" s="213" t="s">
        <v>170</v>
      </c>
      <c r="G558" s="162">
        <v>1055</v>
      </c>
      <c r="H558" s="162">
        <v>983</v>
      </c>
      <c r="I558" s="70">
        <v>2072</v>
      </c>
      <c r="J558" s="70">
        <v>1795</v>
      </c>
      <c r="K558" s="70">
        <f>1827.45</f>
        <v>1827.45</v>
      </c>
      <c r="L558" s="70">
        <v>2000</v>
      </c>
      <c r="M558" s="70">
        <v>2155</v>
      </c>
      <c r="N558" s="70">
        <v>2200</v>
      </c>
    </row>
    <row r="559" spans="2:14" x14ac:dyDescent="0.2">
      <c r="B559" s="67"/>
      <c r="C559" s="66"/>
      <c r="D559" s="66"/>
      <c r="E559" s="66"/>
      <c r="F559" s="213" t="s">
        <v>171</v>
      </c>
      <c r="G559" s="162">
        <v>428141</v>
      </c>
      <c r="H559" s="162">
        <v>247237</v>
      </c>
      <c r="I559" s="64">
        <v>338750</v>
      </c>
      <c r="J559" s="64">
        <v>337362</v>
      </c>
      <c r="K559" s="64">
        <f>254341.08+8232.11+2990.51+1993+17456.99+1553.6+1160+18965.46</f>
        <v>306692.75</v>
      </c>
      <c r="L559" s="64">
        <v>440100</v>
      </c>
      <c r="M559" s="64">
        <v>358940</v>
      </c>
      <c r="N559" s="64">
        <v>415500</v>
      </c>
    </row>
    <row r="560" spans="2:14" x14ac:dyDescent="0.2">
      <c r="B560" s="67"/>
      <c r="C560" s="66"/>
      <c r="D560" s="66"/>
      <c r="E560" s="66"/>
      <c r="F560" s="213" t="s">
        <v>201</v>
      </c>
      <c r="G560" s="162">
        <v>10256</v>
      </c>
      <c r="H560" s="162">
        <v>267</v>
      </c>
      <c r="I560" s="64">
        <v>607</v>
      </c>
      <c r="J560" s="64">
        <v>330</v>
      </c>
      <c r="K560" s="64">
        <v>0</v>
      </c>
      <c r="L560" s="64">
        <v>2000</v>
      </c>
      <c r="M560" s="64">
        <v>1200</v>
      </c>
      <c r="N560" s="64">
        <v>2000</v>
      </c>
    </row>
    <row r="561" spans="2:14" x14ac:dyDescent="0.2">
      <c r="B561" s="67"/>
      <c r="C561" s="66"/>
      <c r="D561" s="66"/>
      <c r="E561" s="66"/>
      <c r="F561" s="213" t="s">
        <v>226</v>
      </c>
      <c r="G561" s="162">
        <v>4146</v>
      </c>
      <c r="H561" s="162">
        <v>5220</v>
      </c>
      <c r="I561" s="64">
        <v>5359</v>
      </c>
      <c r="J561" s="64">
        <v>2447</v>
      </c>
      <c r="K561" s="64">
        <v>2324.7800000000002</v>
      </c>
      <c r="L561" s="64">
        <v>3000</v>
      </c>
      <c r="M561" s="64">
        <v>2800</v>
      </c>
      <c r="N561" s="64">
        <v>3000</v>
      </c>
    </row>
    <row r="562" spans="2:14" x14ac:dyDescent="0.2">
      <c r="B562" s="67"/>
      <c r="C562" s="66"/>
      <c r="D562" s="66"/>
      <c r="E562" s="66"/>
      <c r="F562" s="213" t="s">
        <v>173</v>
      </c>
      <c r="G562" s="162">
        <v>36</v>
      </c>
      <c r="H562" s="162">
        <v>2</v>
      </c>
      <c r="I562" s="162">
        <v>0</v>
      </c>
      <c r="J562" s="162">
        <v>0</v>
      </c>
      <c r="K562" s="162">
        <v>0</v>
      </c>
      <c r="L562" s="162">
        <v>0</v>
      </c>
      <c r="M562" s="64">
        <v>0</v>
      </c>
      <c r="N562" s="64">
        <v>0</v>
      </c>
    </row>
    <row r="563" spans="2:14" x14ac:dyDescent="0.2">
      <c r="B563" s="67"/>
      <c r="C563" s="66"/>
      <c r="D563" s="66"/>
      <c r="E563" s="66"/>
      <c r="F563" s="213" t="s">
        <v>207</v>
      </c>
      <c r="G563" s="162">
        <v>0</v>
      </c>
      <c r="H563" s="162">
        <v>0</v>
      </c>
      <c r="I563" s="64">
        <v>0</v>
      </c>
      <c r="J563" s="64">
        <v>0</v>
      </c>
      <c r="K563" s="64">
        <v>0</v>
      </c>
      <c r="L563" s="64">
        <v>300</v>
      </c>
      <c r="M563" s="64">
        <v>150</v>
      </c>
      <c r="N563" s="64">
        <v>300</v>
      </c>
    </row>
    <row r="564" spans="2:14" x14ac:dyDescent="0.2">
      <c r="B564" s="67"/>
      <c r="C564" s="66"/>
      <c r="D564" s="233" t="s">
        <v>239</v>
      </c>
      <c r="E564" s="234"/>
      <c r="F564" s="234"/>
      <c r="G564" s="74">
        <f>G565+G578+G576</f>
        <v>1264556</v>
      </c>
      <c r="H564" s="74">
        <f t="shared" ref="H564:N564" si="146">H565+H578</f>
        <v>1077026</v>
      </c>
      <c r="I564" s="74">
        <f t="shared" si="146"/>
        <v>826033</v>
      </c>
      <c r="J564" s="74">
        <f t="shared" si="146"/>
        <v>53497</v>
      </c>
      <c r="K564" s="74">
        <f t="shared" si="146"/>
        <v>1445936.0399999998</v>
      </c>
      <c r="L564" s="74">
        <f t="shared" si="146"/>
        <v>1692158</v>
      </c>
      <c r="M564" s="74">
        <f t="shared" si="146"/>
        <v>1144066</v>
      </c>
      <c r="N564" s="74">
        <f t="shared" si="146"/>
        <v>1412569</v>
      </c>
    </row>
    <row r="565" spans="2:14" x14ac:dyDescent="0.2">
      <c r="B565" s="67"/>
      <c r="C565" s="66"/>
      <c r="D565" s="66"/>
      <c r="E565" s="233" t="s">
        <v>164</v>
      </c>
      <c r="F565" s="233"/>
      <c r="G565" s="75">
        <f t="shared" ref="G565:N565" si="147">SUM(G566:G575)</f>
        <v>1115209</v>
      </c>
      <c r="H565" s="75">
        <f t="shared" si="147"/>
        <v>1038948</v>
      </c>
      <c r="I565" s="75">
        <f t="shared" si="147"/>
        <v>690637</v>
      </c>
      <c r="J565" s="75">
        <f t="shared" si="147"/>
        <v>-19867</v>
      </c>
      <c r="K565" s="75">
        <f t="shared" si="147"/>
        <v>1302606.6599999999</v>
      </c>
      <c r="L565" s="75">
        <f t="shared" si="147"/>
        <v>1535158</v>
      </c>
      <c r="M565" s="75">
        <f t="shared" si="147"/>
        <v>1019126</v>
      </c>
      <c r="N565" s="75">
        <f t="shared" si="147"/>
        <v>1270459</v>
      </c>
    </row>
    <row r="566" spans="2:14" x14ac:dyDescent="0.2">
      <c r="B566" s="67"/>
      <c r="C566" s="66"/>
      <c r="D566" s="66"/>
      <c r="E566" s="66"/>
      <c r="F566" s="213" t="s">
        <v>165</v>
      </c>
      <c r="G566" s="162">
        <v>409592</v>
      </c>
      <c r="H566" s="162">
        <v>418358</v>
      </c>
      <c r="I566" s="64">
        <v>442737</v>
      </c>
      <c r="J566" s="64">
        <v>250409</v>
      </c>
      <c r="K566" s="64">
        <v>228169.39</v>
      </c>
      <c r="L566" s="64">
        <v>474496</v>
      </c>
      <c r="M566" s="64">
        <v>325771</v>
      </c>
      <c r="N566" s="64">
        <v>510684</v>
      </c>
    </row>
    <row r="567" spans="2:14" x14ac:dyDescent="0.2">
      <c r="B567" s="67"/>
      <c r="C567" s="66"/>
      <c r="D567" s="66"/>
      <c r="E567" s="66"/>
      <c r="F567" s="213" t="s">
        <v>233</v>
      </c>
      <c r="G567" s="162">
        <v>713989</v>
      </c>
      <c r="H567" s="162">
        <v>698137</v>
      </c>
      <c r="I567" s="64">
        <v>790617</v>
      </c>
      <c r="J567" s="64">
        <v>672943</v>
      </c>
      <c r="K567" s="64">
        <v>733598.21</v>
      </c>
      <c r="L567" s="64">
        <v>1115462</v>
      </c>
      <c r="M567" s="64">
        <v>1151730</v>
      </c>
      <c r="N567" s="64">
        <v>1313075</v>
      </c>
    </row>
    <row r="568" spans="2:14" x14ac:dyDescent="0.2">
      <c r="B568" s="67"/>
      <c r="C568" s="66"/>
      <c r="D568" s="66"/>
      <c r="E568" s="66"/>
      <c r="F568" s="213" t="s">
        <v>190</v>
      </c>
      <c r="G568" s="162">
        <v>434847</v>
      </c>
      <c r="H568" s="162">
        <v>260687</v>
      </c>
      <c r="I568" s="64">
        <v>261194</v>
      </c>
      <c r="J568" s="64">
        <v>215622</v>
      </c>
      <c r="K568" s="64">
        <v>295937.58</v>
      </c>
      <c r="L568" s="64">
        <v>300000</v>
      </c>
      <c r="M568" s="64">
        <v>400000</v>
      </c>
      <c r="N568" s="64">
        <v>400000</v>
      </c>
    </row>
    <row r="569" spans="2:14" x14ac:dyDescent="0.2">
      <c r="B569" s="67"/>
      <c r="C569" s="66"/>
      <c r="D569" s="66"/>
      <c r="E569" s="66"/>
      <c r="F569" s="213" t="s">
        <v>234</v>
      </c>
      <c r="G569" s="162">
        <v>4633</v>
      </c>
      <c r="H569" s="162">
        <v>3523</v>
      </c>
      <c r="I569" s="64">
        <v>3430</v>
      </c>
      <c r="J569" s="64">
        <v>1772</v>
      </c>
      <c r="K569" s="64">
        <v>2799.97</v>
      </c>
      <c r="L569" s="64">
        <v>2500</v>
      </c>
      <c r="M569" s="64">
        <v>4000</v>
      </c>
      <c r="N569" s="64">
        <v>4000</v>
      </c>
    </row>
    <row r="570" spans="2:14" x14ac:dyDescent="0.2">
      <c r="B570" s="67"/>
      <c r="C570" s="66"/>
      <c r="D570" s="66"/>
      <c r="E570" s="66"/>
      <c r="F570" s="213" t="s">
        <v>238</v>
      </c>
      <c r="G570" s="162">
        <v>0</v>
      </c>
      <c r="H570" s="162">
        <v>250</v>
      </c>
      <c r="I570" s="64">
        <v>250</v>
      </c>
      <c r="J570" s="64">
        <v>250</v>
      </c>
      <c r="K570" s="64">
        <v>250</v>
      </c>
      <c r="L570" s="64">
        <v>350</v>
      </c>
      <c r="M570" s="64">
        <v>250</v>
      </c>
      <c r="N570" s="64">
        <v>350</v>
      </c>
    </row>
    <row r="571" spans="2:14" x14ac:dyDescent="0.2">
      <c r="B571" s="67"/>
      <c r="C571" s="66"/>
      <c r="D571" s="66"/>
      <c r="E571" s="66"/>
      <c r="F571" s="213" t="s">
        <v>178</v>
      </c>
      <c r="G571" s="162">
        <v>12635</v>
      </c>
      <c r="H571" s="162">
        <v>12757</v>
      </c>
      <c r="I571" s="64">
        <v>11827</v>
      </c>
      <c r="J571" s="64">
        <v>21213</v>
      </c>
      <c r="K571" s="64">
        <v>19051.509999999998</v>
      </c>
      <c r="L571" s="64">
        <v>18000</v>
      </c>
      <c r="M571" s="64">
        <v>15000</v>
      </c>
      <c r="N571" s="64">
        <v>18000</v>
      </c>
    </row>
    <row r="572" spans="2:14" x14ac:dyDescent="0.2">
      <c r="B572" s="67"/>
      <c r="C572" s="66"/>
      <c r="D572" s="66"/>
      <c r="E572" s="66"/>
      <c r="F572" s="213" t="s">
        <v>225</v>
      </c>
      <c r="G572" s="162">
        <v>10250</v>
      </c>
      <c r="H572" s="162">
        <v>9200</v>
      </c>
      <c r="I572" s="64">
        <v>10201</v>
      </c>
      <c r="J572" s="64">
        <v>9693</v>
      </c>
      <c r="K572" s="64">
        <v>9300</v>
      </c>
      <c r="L572" s="64">
        <v>12350</v>
      </c>
      <c r="M572" s="64">
        <v>11575</v>
      </c>
      <c r="N572" s="64">
        <v>12350</v>
      </c>
    </row>
    <row r="573" spans="2:14" x14ac:dyDescent="0.2">
      <c r="B573" s="67"/>
      <c r="C573" s="66"/>
      <c r="D573" s="66"/>
      <c r="E573" s="66"/>
      <c r="F573" s="213" t="s">
        <v>235</v>
      </c>
      <c r="G573" s="162">
        <v>0</v>
      </c>
      <c r="H573" s="162">
        <v>0</v>
      </c>
      <c r="I573" s="64">
        <v>0</v>
      </c>
      <c r="J573" s="64">
        <v>5200</v>
      </c>
      <c r="K573" s="64">
        <v>13500</v>
      </c>
      <c r="L573" s="64">
        <v>12000</v>
      </c>
      <c r="M573" s="64">
        <v>10800</v>
      </c>
      <c r="N573" s="64">
        <v>12000</v>
      </c>
    </row>
    <row r="574" spans="2:14" x14ac:dyDescent="0.2">
      <c r="B574" s="67"/>
      <c r="C574" s="66"/>
      <c r="D574" s="66"/>
      <c r="E574" s="66"/>
      <c r="F574" s="213" t="s">
        <v>179</v>
      </c>
      <c r="G574" s="162">
        <v>-144878</v>
      </c>
      <c r="H574" s="162">
        <v>0</v>
      </c>
      <c r="I574" s="162">
        <v>0</v>
      </c>
      <c r="J574" s="162">
        <v>0</v>
      </c>
      <c r="K574" s="162">
        <v>0</v>
      </c>
      <c r="L574" s="162">
        <v>0</v>
      </c>
      <c r="M574" s="64">
        <v>0</v>
      </c>
      <c r="N574" s="64">
        <v>0</v>
      </c>
    </row>
    <row r="575" spans="2:14" x14ac:dyDescent="0.2">
      <c r="B575" s="67"/>
      <c r="C575" s="66"/>
      <c r="D575" s="66"/>
      <c r="E575" s="66"/>
      <c r="F575" s="213" t="s">
        <v>240</v>
      </c>
      <c r="G575" s="162">
        <v>-325859</v>
      </c>
      <c r="H575" s="162">
        <v>-363964</v>
      </c>
      <c r="I575" s="64">
        <v>-829619</v>
      </c>
      <c r="J575" s="64">
        <v>-1196969</v>
      </c>
      <c r="K575" s="64">
        <v>0</v>
      </c>
      <c r="L575" s="64">
        <v>-400000</v>
      </c>
      <c r="M575" s="64">
        <v>-900000</v>
      </c>
      <c r="N575" s="64">
        <v>-1000000</v>
      </c>
    </row>
    <row r="576" spans="2:14" x14ac:dyDescent="0.2">
      <c r="B576" s="67"/>
      <c r="C576" s="66"/>
      <c r="D576" s="66"/>
      <c r="E576" s="235" t="s">
        <v>194</v>
      </c>
      <c r="F576" s="235"/>
      <c r="G576" s="166">
        <f>G577</f>
        <v>4590</v>
      </c>
      <c r="H576" s="166">
        <f t="shared" ref="H576:N576" si="148">H577</f>
        <v>0</v>
      </c>
      <c r="I576" s="166">
        <f t="shared" si="148"/>
        <v>0</v>
      </c>
      <c r="J576" s="166">
        <f t="shared" si="148"/>
        <v>0</v>
      </c>
      <c r="K576" s="166">
        <f t="shared" si="148"/>
        <v>0</v>
      </c>
      <c r="L576" s="166">
        <f t="shared" si="148"/>
        <v>0</v>
      </c>
      <c r="M576" s="166">
        <f t="shared" si="148"/>
        <v>0</v>
      </c>
      <c r="N576" s="166">
        <f t="shared" si="148"/>
        <v>0</v>
      </c>
    </row>
    <row r="577" spans="2:14" x14ac:dyDescent="0.2">
      <c r="B577" s="67"/>
      <c r="C577" s="66"/>
      <c r="D577" s="66"/>
      <c r="E577" s="66"/>
      <c r="F577" s="210" t="s">
        <v>200</v>
      </c>
      <c r="G577" s="162">
        <v>4590</v>
      </c>
      <c r="H577" s="162">
        <v>0</v>
      </c>
      <c r="I577" s="64">
        <v>0</v>
      </c>
      <c r="J577" s="64">
        <v>0</v>
      </c>
      <c r="K577" s="64">
        <v>0</v>
      </c>
      <c r="L577" s="64">
        <v>0</v>
      </c>
      <c r="M577" s="64">
        <v>0</v>
      </c>
      <c r="N577" s="64">
        <v>0</v>
      </c>
    </row>
    <row r="578" spans="2:14" x14ac:dyDescent="0.2">
      <c r="B578" s="67"/>
      <c r="C578" s="66"/>
      <c r="D578" s="66"/>
      <c r="E578" s="235" t="s">
        <v>175</v>
      </c>
      <c r="F578" s="235"/>
      <c r="G578" s="68">
        <f>SUM(G579:G584)</f>
        <v>144757</v>
      </c>
      <c r="H578" s="68">
        <f t="shared" ref="H578:N578" si="149">SUM(H579:H584)</f>
        <v>38078</v>
      </c>
      <c r="I578" s="68">
        <f t="shared" si="149"/>
        <v>135396</v>
      </c>
      <c r="J578" s="68">
        <f t="shared" si="149"/>
        <v>73364</v>
      </c>
      <c r="K578" s="68">
        <f t="shared" si="149"/>
        <v>143329.37999999998</v>
      </c>
      <c r="L578" s="68">
        <f t="shared" si="149"/>
        <v>157000</v>
      </c>
      <c r="M578" s="68">
        <f t="shared" si="149"/>
        <v>124940</v>
      </c>
      <c r="N578" s="68">
        <f t="shared" si="149"/>
        <v>142110</v>
      </c>
    </row>
    <row r="579" spans="2:14" x14ac:dyDescent="0.2">
      <c r="B579" s="67"/>
      <c r="C579" s="66"/>
      <c r="D579" s="66"/>
      <c r="E579" s="211"/>
      <c r="F579" s="213" t="s">
        <v>170</v>
      </c>
      <c r="G579" s="69">
        <v>355</v>
      </c>
      <c r="H579" s="69">
        <v>0</v>
      </c>
      <c r="I579" s="69">
        <v>0</v>
      </c>
      <c r="J579" s="69">
        <v>0</v>
      </c>
      <c r="K579" s="69">
        <v>0</v>
      </c>
      <c r="L579" s="69">
        <v>0</v>
      </c>
      <c r="M579" s="69">
        <v>0</v>
      </c>
      <c r="N579" s="69">
        <v>0</v>
      </c>
    </row>
    <row r="580" spans="2:14" x14ac:dyDescent="0.2">
      <c r="B580" s="67"/>
      <c r="C580" s="66"/>
      <c r="D580" s="66"/>
      <c r="E580" s="66"/>
      <c r="F580" s="213" t="s">
        <v>171</v>
      </c>
      <c r="G580" s="162">
        <v>140145</v>
      </c>
      <c r="H580" s="162">
        <v>35307</v>
      </c>
      <c r="I580" s="64">
        <v>131857</v>
      </c>
      <c r="J580" s="64">
        <v>69440</v>
      </c>
      <c r="K580" s="64">
        <f>84895.14+1740.93+8346.95+9086.16+3963.88+22594.16+7357.62</f>
        <v>137984.84</v>
      </c>
      <c r="L580" s="64">
        <v>148500</v>
      </c>
      <c r="M580" s="64">
        <v>118350</v>
      </c>
      <c r="N580" s="64">
        <v>133400</v>
      </c>
    </row>
    <row r="581" spans="2:14" x14ac:dyDescent="0.2">
      <c r="B581" s="67"/>
      <c r="C581" s="66"/>
      <c r="D581" s="66"/>
      <c r="E581" s="66"/>
      <c r="F581" s="213" t="s">
        <v>201</v>
      </c>
      <c r="G581" s="162">
        <v>0</v>
      </c>
      <c r="H581" s="162">
        <v>0</v>
      </c>
      <c r="I581" s="64">
        <v>0</v>
      </c>
      <c r="J581" s="64">
        <v>0</v>
      </c>
      <c r="K581" s="64">
        <v>1379.96</v>
      </c>
      <c r="L581" s="64">
        <v>1500</v>
      </c>
      <c r="M581" s="64">
        <v>1800</v>
      </c>
      <c r="N581" s="64">
        <v>2000</v>
      </c>
    </row>
    <row r="582" spans="2:14" x14ac:dyDescent="0.2">
      <c r="B582" s="67"/>
      <c r="C582" s="66"/>
      <c r="D582" s="66"/>
      <c r="E582" s="66"/>
      <c r="F582" s="213" t="s">
        <v>226</v>
      </c>
      <c r="G582" s="162">
        <v>2947</v>
      </c>
      <c r="H582" s="162">
        <v>2771</v>
      </c>
      <c r="I582" s="64">
        <v>3539</v>
      </c>
      <c r="J582" s="64">
        <v>3369</v>
      </c>
      <c r="K582" s="64">
        <v>3484.58</v>
      </c>
      <c r="L582" s="64">
        <v>6000</v>
      </c>
      <c r="M582" s="64">
        <v>4200</v>
      </c>
      <c r="N582" s="64">
        <v>6000</v>
      </c>
    </row>
    <row r="583" spans="2:14" x14ac:dyDescent="0.2">
      <c r="B583" s="67"/>
      <c r="C583" s="66"/>
      <c r="D583" s="66"/>
      <c r="E583" s="66"/>
      <c r="F583" s="213" t="s">
        <v>173</v>
      </c>
      <c r="G583" s="162">
        <v>1310</v>
      </c>
      <c r="H583" s="162">
        <v>0</v>
      </c>
      <c r="I583" s="64">
        <v>0</v>
      </c>
      <c r="J583" s="64">
        <v>75</v>
      </c>
      <c r="K583" s="64">
        <v>0</v>
      </c>
      <c r="L583" s="64">
        <v>0</v>
      </c>
      <c r="M583" s="64">
        <v>0</v>
      </c>
      <c r="N583" s="64">
        <v>0</v>
      </c>
    </row>
    <row r="584" spans="2:14" x14ac:dyDescent="0.2">
      <c r="B584" s="67"/>
      <c r="C584" s="66"/>
      <c r="D584" s="66"/>
      <c r="E584" s="66"/>
      <c r="F584" s="213" t="s">
        <v>207</v>
      </c>
      <c r="G584" s="162">
        <v>0</v>
      </c>
      <c r="H584" s="162">
        <v>0</v>
      </c>
      <c r="I584" s="64">
        <v>0</v>
      </c>
      <c r="J584" s="64">
        <v>480</v>
      </c>
      <c r="K584" s="64">
        <v>480</v>
      </c>
      <c r="L584" s="64">
        <v>1000</v>
      </c>
      <c r="M584" s="64">
        <v>590</v>
      </c>
      <c r="N584" s="64">
        <v>710</v>
      </c>
    </row>
    <row r="585" spans="2:14" x14ac:dyDescent="0.2">
      <c r="B585" s="67"/>
      <c r="C585" s="66"/>
      <c r="D585" s="232" t="s">
        <v>241</v>
      </c>
      <c r="E585" s="239"/>
      <c r="F585" s="239"/>
      <c r="G585" s="74">
        <f t="shared" ref="G585:N585" si="150">G586+G595+G598</f>
        <v>5033184</v>
      </c>
      <c r="H585" s="74">
        <f t="shared" si="150"/>
        <v>4134687</v>
      </c>
      <c r="I585" s="74">
        <f t="shared" si="150"/>
        <v>5869921</v>
      </c>
      <c r="J585" s="74">
        <f t="shared" si="150"/>
        <v>6125036</v>
      </c>
      <c r="K585" s="74">
        <f t="shared" si="150"/>
        <v>6072899.1699999999</v>
      </c>
      <c r="L585" s="74">
        <f t="shared" si="150"/>
        <v>8088848</v>
      </c>
      <c r="M585" s="74">
        <f t="shared" si="150"/>
        <v>6618886</v>
      </c>
      <c r="N585" s="74">
        <f t="shared" si="150"/>
        <v>7444970</v>
      </c>
    </row>
    <row r="586" spans="2:14" x14ac:dyDescent="0.2">
      <c r="B586" s="67"/>
      <c r="C586" s="66"/>
      <c r="D586" s="66"/>
      <c r="E586" s="232" t="s">
        <v>164</v>
      </c>
      <c r="F586" s="232"/>
      <c r="G586" s="73">
        <f t="shared" ref="G586:N586" si="151">SUM(G587:G594)</f>
        <v>1939199</v>
      </c>
      <c r="H586" s="73">
        <f t="shared" si="151"/>
        <v>1489884</v>
      </c>
      <c r="I586" s="73">
        <f t="shared" si="151"/>
        <v>1587091</v>
      </c>
      <c r="J586" s="73">
        <f t="shared" si="151"/>
        <v>1889586</v>
      </c>
      <c r="K586" s="73">
        <f t="shared" si="151"/>
        <v>2222594.1800000002</v>
      </c>
      <c r="L586" s="73">
        <f t="shared" si="151"/>
        <v>2449723</v>
      </c>
      <c r="M586" s="73">
        <f t="shared" si="151"/>
        <v>2583936</v>
      </c>
      <c r="N586" s="73">
        <f t="shared" si="151"/>
        <v>2522145</v>
      </c>
    </row>
    <row r="587" spans="2:14" x14ac:dyDescent="0.2">
      <c r="B587" s="67"/>
      <c r="C587" s="66"/>
      <c r="D587" s="66"/>
      <c r="E587" s="66"/>
      <c r="F587" s="213" t="s">
        <v>165</v>
      </c>
      <c r="G587" s="162">
        <v>218607</v>
      </c>
      <c r="H587" s="162">
        <v>230566</v>
      </c>
      <c r="I587" s="64">
        <v>221155</v>
      </c>
      <c r="J587" s="64">
        <v>301599</v>
      </c>
      <c r="K587" s="64">
        <v>227414.58</v>
      </c>
      <c r="L587" s="64">
        <v>278125</v>
      </c>
      <c r="M587" s="64">
        <v>258180</v>
      </c>
      <c r="N587" s="64">
        <v>299114</v>
      </c>
    </row>
    <row r="588" spans="2:14" x14ac:dyDescent="0.2">
      <c r="B588" s="67"/>
      <c r="C588" s="66"/>
      <c r="D588" s="66"/>
      <c r="E588" s="66"/>
      <c r="F588" s="213" t="s">
        <v>233</v>
      </c>
      <c r="G588" s="162">
        <v>1159176</v>
      </c>
      <c r="H588" s="162">
        <v>1041171</v>
      </c>
      <c r="I588" s="64">
        <v>1015330</v>
      </c>
      <c r="J588" s="64">
        <v>1192821</v>
      </c>
      <c r="K588" s="64">
        <v>1437526.18</v>
      </c>
      <c r="L588" s="64">
        <v>1696318</v>
      </c>
      <c r="M588" s="64">
        <v>1745806</v>
      </c>
      <c r="N588" s="64">
        <v>1688781</v>
      </c>
    </row>
    <row r="589" spans="2:14" x14ac:dyDescent="0.2">
      <c r="B589" s="67"/>
      <c r="C589" s="66"/>
      <c r="D589" s="66"/>
      <c r="E589" s="66"/>
      <c r="F589" s="213" t="s">
        <v>190</v>
      </c>
      <c r="G589" s="162">
        <v>509465</v>
      </c>
      <c r="H589" s="162">
        <v>188831</v>
      </c>
      <c r="I589" s="64">
        <v>310585</v>
      </c>
      <c r="J589" s="64">
        <v>353645</v>
      </c>
      <c r="K589" s="64">
        <v>519592.52</v>
      </c>
      <c r="L589" s="64">
        <v>412000</v>
      </c>
      <c r="M589" s="64">
        <v>535000</v>
      </c>
      <c r="N589" s="64">
        <v>480000</v>
      </c>
    </row>
    <row r="590" spans="2:14" x14ac:dyDescent="0.2">
      <c r="B590" s="67"/>
      <c r="C590" s="66"/>
      <c r="D590" s="66"/>
      <c r="E590" s="66"/>
      <c r="F590" s="213" t="s">
        <v>234</v>
      </c>
      <c r="G590" s="162">
        <v>14518</v>
      </c>
      <c r="H590" s="162">
        <v>6863</v>
      </c>
      <c r="I590" s="64">
        <v>8733</v>
      </c>
      <c r="J590" s="64">
        <v>7432</v>
      </c>
      <c r="K590" s="64">
        <v>9501.89</v>
      </c>
      <c r="L590" s="64">
        <v>11330</v>
      </c>
      <c r="M590" s="64">
        <v>9900</v>
      </c>
      <c r="N590" s="64">
        <v>10000</v>
      </c>
    </row>
    <row r="591" spans="2:14" x14ac:dyDescent="0.2">
      <c r="B591" s="67"/>
      <c r="C591" s="66"/>
      <c r="D591" s="66"/>
      <c r="E591" s="66"/>
      <c r="F591" s="213" t="s">
        <v>238</v>
      </c>
      <c r="G591" s="162">
        <v>5500</v>
      </c>
      <c r="H591" s="162">
        <v>4750</v>
      </c>
      <c r="I591" s="64">
        <v>5250</v>
      </c>
      <c r="J591" s="64">
        <v>6300</v>
      </c>
      <c r="K591" s="64">
        <v>6650</v>
      </c>
      <c r="L591" s="64">
        <v>7700</v>
      </c>
      <c r="M591" s="64">
        <v>7000</v>
      </c>
      <c r="N591" s="64">
        <v>7000</v>
      </c>
    </row>
    <row r="592" spans="2:14" x14ac:dyDescent="0.2">
      <c r="B592" s="67"/>
      <c r="C592" s="66"/>
      <c r="D592" s="66"/>
      <c r="E592" s="66"/>
      <c r="F592" s="213" t="s">
        <v>178</v>
      </c>
      <c r="G592" s="162">
        <v>24458</v>
      </c>
      <c r="H592" s="162">
        <v>10278</v>
      </c>
      <c r="I592" s="64">
        <v>18588</v>
      </c>
      <c r="J592" s="64">
        <v>13289</v>
      </c>
      <c r="K592" s="64">
        <v>3959.01</v>
      </c>
      <c r="L592" s="64">
        <v>18000</v>
      </c>
      <c r="M592" s="64">
        <v>8000</v>
      </c>
      <c r="N592" s="64">
        <v>10000</v>
      </c>
    </row>
    <row r="593" spans="2:14" x14ac:dyDescent="0.2">
      <c r="B593" s="67"/>
      <c r="C593" s="66"/>
      <c r="D593" s="66"/>
      <c r="E593" s="66"/>
      <c r="F593" s="213" t="s">
        <v>225</v>
      </c>
      <c r="G593" s="162">
        <v>7475</v>
      </c>
      <c r="H593" s="162">
        <v>7425</v>
      </c>
      <c r="I593" s="64">
        <v>7450</v>
      </c>
      <c r="J593" s="64">
        <v>7500</v>
      </c>
      <c r="K593" s="64">
        <v>8250</v>
      </c>
      <c r="L593" s="64">
        <v>8250</v>
      </c>
      <c r="M593" s="64">
        <v>9250</v>
      </c>
      <c r="N593" s="64">
        <v>9250</v>
      </c>
    </row>
    <row r="594" spans="2:14" x14ac:dyDescent="0.2">
      <c r="B594" s="67"/>
      <c r="C594" s="66"/>
      <c r="D594" s="66"/>
      <c r="E594" s="66"/>
      <c r="F594" s="213" t="s">
        <v>235</v>
      </c>
      <c r="G594" s="162">
        <v>0</v>
      </c>
      <c r="H594" s="162">
        <v>0</v>
      </c>
      <c r="I594" s="64">
        <v>0</v>
      </c>
      <c r="J594" s="64">
        <v>7000</v>
      </c>
      <c r="K594" s="64">
        <v>9700</v>
      </c>
      <c r="L594" s="64">
        <v>18000</v>
      </c>
      <c r="M594" s="64">
        <v>10800</v>
      </c>
      <c r="N594" s="64">
        <v>18000</v>
      </c>
    </row>
    <row r="595" spans="2:14" x14ac:dyDescent="0.2">
      <c r="B595" s="67"/>
      <c r="C595" s="66"/>
      <c r="D595" s="66"/>
      <c r="E595" s="235" t="s">
        <v>194</v>
      </c>
      <c r="F595" s="235"/>
      <c r="G595" s="71">
        <f>SUM(G596:G597)</f>
        <v>27686</v>
      </c>
      <c r="H595" s="71">
        <f t="shared" ref="H595:N595" si="152">SUM(H596:H597)</f>
        <v>4949</v>
      </c>
      <c r="I595" s="71">
        <f t="shared" si="152"/>
        <v>2163</v>
      </c>
      <c r="J595" s="71">
        <f t="shared" si="152"/>
        <v>0</v>
      </c>
      <c r="K595" s="71">
        <f t="shared" si="152"/>
        <v>1226.3800000000001</v>
      </c>
      <c r="L595" s="71">
        <f t="shared" si="152"/>
        <v>0</v>
      </c>
      <c r="M595" s="71">
        <f t="shared" si="152"/>
        <v>0</v>
      </c>
      <c r="N595" s="71">
        <f t="shared" si="152"/>
        <v>0</v>
      </c>
    </row>
    <row r="596" spans="2:14" x14ac:dyDescent="0.2">
      <c r="B596" s="67"/>
      <c r="C596" s="66"/>
      <c r="D596" s="66"/>
      <c r="E596" s="66"/>
      <c r="F596" s="213" t="s">
        <v>168</v>
      </c>
      <c r="G596" s="162">
        <v>0</v>
      </c>
      <c r="H596" s="162">
        <v>96</v>
      </c>
      <c r="I596" s="64">
        <v>2163</v>
      </c>
      <c r="J596" s="64">
        <v>0</v>
      </c>
      <c r="K596" s="64">
        <v>1226.3800000000001</v>
      </c>
      <c r="L596" s="64">
        <v>0</v>
      </c>
      <c r="M596" s="64">
        <v>0</v>
      </c>
      <c r="N596" s="64">
        <v>0</v>
      </c>
    </row>
    <row r="597" spans="2:14" x14ac:dyDescent="0.2">
      <c r="B597" s="67"/>
      <c r="C597" s="66"/>
      <c r="D597" s="66"/>
      <c r="E597" s="66"/>
      <c r="F597" s="210" t="s">
        <v>200</v>
      </c>
      <c r="G597" s="162">
        <v>27686</v>
      </c>
      <c r="H597" s="162">
        <v>4853</v>
      </c>
      <c r="I597" s="162">
        <v>0</v>
      </c>
      <c r="J597" s="162">
        <v>0</v>
      </c>
      <c r="K597" s="162">
        <v>0</v>
      </c>
      <c r="L597" s="162">
        <v>0</v>
      </c>
      <c r="M597" s="64">
        <v>0</v>
      </c>
      <c r="N597" s="64">
        <v>0</v>
      </c>
    </row>
    <row r="598" spans="2:14" x14ac:dyDescent="0.2">
      <c r="B598" s="67"/>
      <c r="C598" s="66"/>
      <c r="D598" s="66"/>
      <c r="E598" s="235" t="s">
        <v>175</v>
      </c>
      <c r="F598" s="235"/>
      <c r="G598" s="68">
        <f t="shared" ref="G598:N598" si="153">SUM(G599:G609)</f>
        <v>3066299</v>
      </c>
      <c r="H598" s="68">
        <f t="shared" si="153"/>
        <v>2639854</v>
      </c>
      <c r="I598" s="68">
        <f t="shared" si="153"/>
        <v>4280667</v>
      </c>
      <c r="J598" s="68">
        <f t="shared" si="153"/>
        <v>4235450</v>
      </c>
      <c r="K598" s="68">
        <f t="shared" si="153"/>
        <v>3849078.61</v>
      </c>
      <c r="L598" s="68">
        <f t="shared" si="153"/>
        <v>5639125</v>
      </c>
      <c r="M598" s="68">
        <f t="shared" si="153"/>
        <v>4034950</v>
      </c>
      <c r="N598" s="68">
        <f t="shared" si="153"/>
        <v>4922825</v>
      </c>
    </row>
    <row r="599" spans="2:14" x14ac:dyDescent="0.2">
      <c r="B599" s="67"/>
      <c r="C599" s="66"/>
      <c r="D599" s="66"/>
      <c r="E599" s="66"/>
      <c r="F599" s="213" t="s">
        <v>242</v>
      </c>
      <c r="G599" s="162">
        <v>1866059</v>
      </c>
      <c r="H599" s="162">
        <v>1799950</v>
      </c>
      <c r="I599" s="64">
        <v>3051292</v>
      </c>
      <c r="J599" s="64">
        <v>3149396</v>
      </c>
      <c r="K599" s="64">
        <f>2651586.24+65757.97+100.4</f>
        <v>2717444.6100000003</v>
      </c>
      <c r="L599" s="64">
        <v>3776250</v>
      </c>
      <c r="M599" s="64">
        <v>2266100</v>
      </c>
      <c r="N599" s="64">
        <v>2676250</v>
      </c>
    </row>
    <row r="600" spans="2:14" x14ac:dyDescent="0.2">
      <c r="B600" s="67"/>
      <c r="C600" s="66"/>
      <c r="D600" s="66"/>
      <c r="E600" s="66"/>
      <c r="F600" s="213" t="s">
        <v>243</v>
      </c>
      <c r="G600" s="162">
        <v>1624389</v>
      </c>
      <c r="H600" s="162">
        <v>1551473</v>
      </c>
      <c r="I600" s="64">
        <v>1676262</v>
      </c>
      <c r="J600" s="64">
        <v>1744451</v>
      </c>
      <c r="K600" s="64">
        <f>743059.65+1082985.44</f>
        <v>1826045.0899999999</v>
      </c>
      <c r="L600" s="64">
        <v>2800000</v>
      </c>
      <c r="M600" s="64">
        <v>2300000</v>
      </c>
      <c r="N600" s="64">
        <v>2800000</v>
      </c>
    </row>
    <row r="601" spans="2:14" x14ac:dyDescent="0.2">
      <c r="B601" s="67"/>
      <c r="C601" s="66"/>
      <c r="D601" s="66"/>
      <c r="E601" s="66"/>
      <c r="F601" s="213" t="s">
        <v>170</v>
      </c>
      <c r="G601" s="162">
        <v>1259</v>
      </c>
      <c r="H601" s="162">
        <v>1139</v>
      </c>
      <c r="I601" s="64">
        <v>1035</v>
      </c>
      <c r="J601" s="64">
        <v>1106</v>
      </c>
      <c r="K601" s="64">
        <f>975.02</f>
        <v>975.02</v>
      </c>
      <c r="L601" s="64">
        <v>1500</v>
      </c>
      <c r="M601" s="64">
        <v>1300</v>
      </c>
      <c r="N601" s="64">
        <v>1500</v>
      </c>
    </row>
    <row r="602" spans="2:14" x14ac:dyDescent="0.2">
      <c r="B602" s="67"/>
      <c r="C602" s="66"/>
      <c r="D602" s="66"/>
      <c r="E602" s="66"/>
      <c r="F602" s="213" t="s">
        <v>171</v>
      </c>
      <c r="G602" s="162">
        <v>226701</v>
      </c>
      <c r="H602" s="162">
        <v>184849</v>
      </c>
      <c r="I602" s="64">
        <v>243403</v>
      </c>
      <c r="J602" s="64">
        <v>242420</v>
      </c>
      <c r="K602" s="64">
        <f>25381+10071+6704.7+121479.57+10556.64+29690.77+49954.57+24414.56</f>
        <v>278252.81000000006</v>
      </c>
      <c r="L602" s="64">
        <v>373375</v>
      </c>
      <c r="M602" s="64">
        <v>149200</v>
      </c>
      <c r="N602" s="64">
        <v>196075</v>
      </c>
    </row>
    <row r="603" spans="2:14" x14ac:dyDescent="0.2">
      <c r="B603" s="67"/>
      <c r="C603" s="66"/>
      <c r="D603" s="66"/>
      <c r="E603" s="66"/>
      <c r="F603" s="213" t="s">
        <v>201</v>
      </c>
      <c r="G603" s="162">
        <v>0</v>
      </c>
      <c r="H603" s="162">
        <v>0</v>
      </c>
      <c r="I603" s="64">
        <v>0</v>
      </c>
      <c r="J603" s="64">
        <v>0</v>
      </c>
      <c r="K603" s="64">
        <v>10899.14</v>
      </c>
      <c r="L603" s="64">
        <v>9500</v>
      </c>
      <c r="M603" s="64">
        <v>27200</v>
      </c>
      <c r="N603" s="64">
        <v>29500</v>
      </c>
    </row>
    <row r="604" spans="2:14" x14ac:dyDescent="0.2">
      <c r="B604" s="67"/>
      <c r="C604" s="66"/>
      <c r="D604" s="66"/>
      <c r="E604" s="66"/>
      <c r="F604" s="213" t="s">
        <v>226</v>
      </c>
      <c r="G604" s="162">
        <v>4332</v>
      </c>
      <c r="H604" s="162">
        <v>3748</v>
      </c>
      <c r="I604" s="64">
        <v>3459</v>
      </c>
      <c r="J604" s="64">
        <v>4303</v>
      </c>
      <c r="K604" s="64">
        <v>3964.15</v>
      </c>
      <c r="L604" s="64">
        <v>6000</v>
      </c>
      <c r="M604" s="64">
        <v>5000</v>
      </c>
      <c r="N604" s="64">
        <v>6000</v>
      </c>
    </row>
    <row r="605" spans="2:14" x14ac:dyDescent="0.2">
      <c r="B605" s="67"/>
      <c r="C605" s="66"/>
      <c r="D605" s="66"/>
      <c r="E605" s="66"/>
      <c r="F605" s="213" t="s">
        <v>173</v>
      </c>
      <c r="G605" s="162">
        <v>2330</v>
      </c>
      <c r="H605" s="162">
        <v>0</v>
      </c>
      <c r="I605" s="64">
        <v>404</v>
      </c>
      <c r="J605" s="64">
        <v>5296</v>
      </c>
      <c r="K605" s="64">
        <v>403.13</v>
      </c>
      <c r="L605" s="64">
        <v>17000</v>
      </c>
      <c r="M605" s="64">
        <v>16650</v>
      </c>
      <c r="N605" s="64">
        <v>18000</v>
      </c>
    </row>
    <row r="606" spans="2:14" x14ac:dyDescent="0.2">
      <c r="B606" s="67"/>
      <c r="C606" s="66"/>
      <c r="D606" s="66"/>
      <c r="E606" s="66"/>
      <c r="F606" s="213" t="s">
        <v>207</v>
      </c>
      <c r="G606" s="162">
        <v>0</v>
      </c>
      <c r="H606" s="162">
        <v>0</v>
      </c>
      <c r="I606" s="64">
        <v>0</v>
      </c>
      <c r="J606" s="64">
        <v>0</v>
      </c>
      <c r="K606" s="64">
        <v>0</v>
      </c>
      <c r="L606" s="64">
        <v>500</v>
      </c>
      <c r="M606" s="64">
        <v>500</v>
      </c>
      <c r="N606" s="64">
        <v>500</v>
      </c>
    </row>
    <row r="607" spans="2:14" x14ac:dyDescent="0.2">
      <c r="B607" s="67"/>
      <c r="C607" s="66"/>
      <c r="D607" s="66"/>
      <c r="E607" s="66"/>
      <c r="F607" s="213" t="s">
        <v>183</v>
      </c>
      <c r="G607" s="162">
        <v>-372974</v>
      </c>
      <c r="H607" s="162">
        <v>-372608</v>
      </c>
      <c r="I607" s="64">
        <v>-540546</v>
      </c>
      <c r="J607" s="64">
        <v>-457613</v>
      </c>
      <c r="K607" s="64">
        <v>-743811.51</v>
      </c>
      <c r="L607" s="64">
        <v>-850000</v>
      </c>
      <c r="M607" s="64">
        <v>-353000</v>
      </c>
      <c r="N607" s="64">
        <v>-380000</v>
      </c>
    </row>
    <row r="608" spans="2:14" x14ac:dyDescent="0.2">
      <c r="B608" s="67"/>
      <c r="C608" s="66"/>
      <c r="D608" s="66"/>
      <c r="E608" s="66"/>
      <c r="F608" s="213" t="s">
        <v>244</v>
      </c>
      <c r="G608" s="162">
        <v>-199317</v>
      </c>
      <c r="H608" s="162">
        <v>-258844</v>
      </c>
      <c r="I608" s="64">
        <v>-61188</v>
      </c>
      <c r="J608" s="64">
        <v>-127854</v>
      </c>
      <c r="K608" s="64">
        <v>-147667.29999999999</v>
      </c>
      <c r="L608" s="64">
        <v>-245000</v>
      </c>
      <c r="M608" s="64">
        <v>-155000</v>
      </c>
      <c r="N608" s="64">
        <v>-175000</v>
      </c>
    </row>
    <row r="609" spans="2:14" x14ac:dyDescent="0.2">
      <c r="B609" s="67"/>
      <c r="C609" s="66"/>
      <c r="D609" s="66"/>
      <c r="E609" s="66"/>
      <c r="F609" s="213" t="s">
        <v>245</v>
      </c>
      <c r="G609" s="162">
        <v>-86480</v>
      </c>
      <c r="H609" s="162">
        <v>-269853</v>
      </c>
      <c r="I609" s="64">
        <v>-93454</v>
      </c>
      <c r="J609" s="64">
        <v>-326055</v>
      </c>
      <c r="K609" s="64">
        <v>-97426.53</v>
      </c>
      <c r="L609" s="64">
        <v>-250000</v>
      </c>
      <c r="M609" s="64">
        <v>-223000</v>
      </c>
      <c r="N609" s="64">
        <v>-250000</v>
      </c>
    </row>
    <row r="610" spans="2:14" x14ac:dyDescent="0.2">
      <c r="B610" s="67"/>
      <c r="C610" s="66"/>
      <c r="D610" s="232" t="s">
        <v>246</v>
      </c>
      <c r="E610" s="239"/>
      <c r="F610" s="239"/>
      <c r="G610" s="74">
        <f t="shared" ref="G610:N610" si="154">G611+G619</f>
        <v>3650405</v>
      </c>
      <c r="H610" s="74">
        <f t="shared" si="154"/>
        <v>2847873</v>
      </c>
      <c r="I610" s="74">
        <f t="shared" si="154"/>
        <v>2928358</v>
      </c>
      <c r="J610" s="74">
        <f t="shared" si="154"/>
        <v>3121826</v>
      </c>
      <c r="K610" s="74">
        <f t="shared" si="154"/>
        <v>2877580.7700000005</v>
      </c>
      <c r="L610" s="74">
        <f t="shared" si="154"/>
        <v>3984241</v>
      </c>
      <c r="M610" s="74">
        <f t="shared" si="154"/>
        <v>4272103</v>
      </c>
      <c r="N610" s="74">
        <f t="shared" si="154"/>
        <v>4629877</v>
      </c>
    </row>
    <row r="611" spans="2:14" x14ac:dyDescent="0.2">
      <c r="B611" s="67"/>
      <c r="C611" s="66"/>
      <c r="D611" s="66"/>
      <c r="E611" s="245" t="s">
        <v>164</v>
      </c>
      <c r="F611" s="245"/>
      <c r="G611" s="73">
        <f t="shared" ref="G611:N611" si="155">SUM(G612:G618)</f>
        <v>2237705</v>
      </c>
      <c r="H611" s="73">
        <f t="shared" si="155"/>
        <v>2071326</v>
      </c>
      <c r="I611" s="73">
        <f t="shared" si="155"/>
        <v>2002276</v>
      </c>
      <c r="J611" s="73">
        <f t="shared" si="155"/>
        <v>2146471</v>
      </c>
      <c r="K611" s="73">
        <f t="shared" si="155"/>
        <v>2326807.8400000003</v>
      </c>
      <c r="L611" s="73">
        <f t="shared" si="155"/>
        <v>2884341</v>
      </c>
      <c r="M611" s="73">
        <f t="shared" si="155"/>
        <v>2703653</v>
      </c>
      <c r="N611" s="73">
        <f t="shared" si="155"/>
        <v>2667207</v>
      </c>
    </row>
    <row r="612" spans="2:14" x14ac:dyDescent="0.2">
      <c r="B612" s="67"/>
      <c r="C612" s="66"/>
      <c r="D612" s="66"/>
      <c r="E612" s="66"/>
      <c r="F612" s="213" t="s">
        <v>165</v>
      </c>
      <c r="G612" s="162">
        <v>87528</v>
      </c>
      <c r="H612" s="162">
        <v>76882</v>
      </c>
      <c r="I612" s="64">
        <v>80397</v>
      </c>
      <c r="J612" s="64">
        <v>88420</v>
      </c>
      <c r="K612" s="64">
        <v>62253.14</v>
      </c>
      <c r="L612" s="64">
        <v>101773</v>
      </c>
      <c r="M612" s="64">
        <v>104943</v>
      </c>
      <c r="N612" s="64">
        <v>106066</v>
      </c>
    </row>
    <row r="613" spans="2:14" x14ac:dyDescent="0.2">
      <c r="B613" s="67"/>
      <c r="C613" s="66"/>
      <c r="D613" s="66"/>
      <c r="E613" s="66"/>
      <c r="F613" s="213" t="s">
        <v>233</v>
      </c>
      <c r="G613" s="162">
        <v>1679798</v>
      </c>
      <c r="H613" s="162">
        <v>1610148</v>
      </c>
      <c r="I613" s="64">
        <v>1451943</v>
      </c>
      <c r="J613" s="64">
        <v>1579282</v>
      </c>
      <c r="K613" s="64">
        <v>1759042.31</v>
      </c>
      <c r="L613" s="64">
        <v>2266568</v>
      </c>
      <c r="M613" s="64">
        <v>2060910</v>
      </c>
      <c r="N613" s="64">
        <v>2070741</v>
      </c>
    </row>
    <row r="614" spans="2:14" x14ac:dyDescent="0.2">
      <c r="B614" s="67"/>
      <c r="C614" s="66"/>
      <c r="D614" s="66"/>
      <c r="E614" s="66"/>
      <c r="F614" s="213" t="s">
        <v>166</v>
      </c>
      <c r="G614" s="162">
        <v>0</v>
      </c>
      <c r="H614" s="162">
        <v>0</v>
      </c>
      <c r="I614" s="64">
        <v>14201</v>
      </c>
      <c r="J614" s="64">
        <v>3722</v>
      </c>
      <c r="K614" s="64">
        <v>0</v>
      </c>
      <c r="L614" s="64">
        <v>0</v>
      </c>
      <c r="M614" s="64">
        <v>0</v>
      </c>
      <c r="N614" s="64">
        <v>0</v>
      </c>
    </row>
    <row r="615" spans="2:14" x14ac:dyDescent="0.2">
      <c r="B615" s="67"/>
      <c r="C615" s="66"/>
      <c r="D615" s="66"/>
      <c r="E615" s="66"/>
      <c r="F615" s="213" t="s">
        <v>190</v>
      </c>
      <c r="G615" s="162">
        <v>438883</v>
      </c>
      <c r="H615" s="162">
        <v>351220</v>
      </c>
      <c r="I615" s="64">
        <v>419632</v>
      </c>
      <c r="J615" s="64">
        <v>433891</v>
      </c>
      <c r="K615" s="64">
        <v>457305.11</v>
      </c>
      <c r="L615" s="64">
        <v>475000</v>
      </c>
      <c r="M615" s="64">
        <v>500000</v>
      </c>
      <c r="N615" s="64">
        <v>450000</v>
      </c>
    </row>
    <row r="616" spans="2:14" x14ac:dyDescent="0.2">
      <c r="B616" s="67"/>
      <c r="C616" s="66"/>
      <c r="D616" s="66"/>
      <c r="E616" s="66"/>
      <c r="F616" s="213" t="s">
        <v>234</v>
      </c>
      <c r="G616" s="162">
        <v>30320</v>
      </c>
      <c r="H616" s="162">
        <v>30202</v>
      </c>
      <c r="I616" s="64">
        <v>30244</v>
      </c>
      <c r="J616" s="64">
        <v>28050</v>
      </c>
      <c r="K616" s="64">
        <v>28588.93</v>
      </c>
      <c r="L616" s="64">
        <v>30000</v>
      </c>
      <c r="M616" s="64">
        <v>30000</v>
      </c>
      <c r="N616" s="64">
        <v>30000</v>
      </c>
    </row>
    <row r="617" spans="2:14" x14ac:dyDescent="0.2">
      <c r="B617" s="67"/>
      <c r="C617" s="66"/>
      <c r="D617" s="66"/>
      <c r="E617" s="66"/>
      <c r="F617" s="213" t="s">
        <v>178</v>
      </c>
      <c r="G617" s="162">
        <v>1176</v>
      </c>
      <c r="H617" s="162">
        <v>2874</v>
      </c>
      <c r="I617" s="64">
        <v>5859</v>
      </c>
      <c r="J617" s="64">
        <v>7306</v>
      </c>
      <c r="K617" s="64">
        <v>15618.35</v>
      </c>
      <c r="L617" s="64">
        <v>5000</v>
      </c>
      <c r="M617" s="64">
        <v>3000</v>
      </c>
      <c r="N617" s="64">
        <v>5000</v>
      </c>
    </row>
    <row r="618" spans="2:14" x14ac:dyDescent="0.2">
      <c r="B618" s="67"/>
      <c r="C618" s="66"/>
      <c r="D618" s="66"/>
      <c r="E618" s="66"/>
      <c r="F618" s="213" t="s">
        <v>235</v>
      </c>
      <c r="G618" s="162">
        <v>0</v>
      </c>
      <c r="H618" s="162">
        <v>0</v>
      </c>
      <c r="I618" s="64">
        <v>0</v>
      </c>
      <c r="J618" s="64">
        <v>5800</v>
      </c>
      <c r="K618" s="64">
        <v>4000</v>
      </c>
      <c r="L618" s="64">
        <v>6000</v>
      </c>
      <c r="M618" s="64">
        <v>4800</v>
      </c>
      <c r="N618" s="64">
        <v>5400</v>
      </c>
    </row>
    <row r="619" spans="2:14" x14ac:dyDescent="0.2">
      <c r="B619" s="67"/>
      <c r="C619" s="66"/>
      <c r="D619" s="66"/>
      <c r="E619" s="235" t="s">
        <v>175</v>
      </c>
      <c r="F619" s="235"/>
      <c r="G619" s="68">
        <f>G620+G621</f>
        <v>1412700</v>
      </c>
      <c r="H619" s="68">
        <f t="shared" ref="H619:N619" si="156">H620+H621</f>
        <v>776547</v>
      </c>
      <c r="I619" s="68">
        <f t="shared" si="156"/>
        <v>926082</v>
      </c>
      <c r="J619" s="68">
        <f t="shared" si="156"/>
        <v>975355</v>
      </c>
      <c r="K619" s="68">
        <f t="shared" si="156"/>
        <v>550772.93000000005</v>
      </c>
      <c r="L619" s="68">
        <f t="shared" si="156"/>
        <v>1099900</v>
      </c>
      <c r="M619" s="68">
        <f t="shared" si="156"/>
        <v>1568450</v>
      </c>
      <c r="N619" s="68">
        <f t="shared" si="156"/>
        <v>1962670</v>
      </c>
    </row>
    <row r="620" spans="2:14" x14ac:dyDescent="0.2">
      <c r="B620" s="67"/>
      <c r="C620" s="66"/>
      <c r="D620" s="66"/>
      <c r="E620" s="66"/>
      <c r="F620" s="213" t="s">
        <v>171</v>
      </c>
      <c r="G620" s="162">
        <v>1412700</v>
      </c>
      <c r="H620" s="162">
        <v>776547</v>
      </c>
      <c r="I620" s="64">
        <v>926082</v>
      </c>
      <c r="J620" s="64">
        <v>975355</v>
      </c>
      <c r="K620" s="64">
        <f>13543.3+55800+471338.63+10091</f>
        <v>550772.93000000005</v>
      </c>
      <c r="L620" s="64">
        <v>1099900</v>
      </c>
      <c r="M620" s="64">
        <v>1568450</v>
      </c>
      <c r="N620" s="64">
        <v>1921420</v>
      </c>
    </row>
    <row r="621" spans="2:14" x14ac:dyDescent="0.2">
      <c r="B621" s="67"/>
      <c r="C621" s="66"/>
      <c r="D621" s="66"/>
      <c r="E621" s="66"/>
      <c r="F621" s="213" t="s">
        <v>172</v>
      </c>
      <c r="G621" s="162">
        <v>0</v>
      </c>
      <c r="H621" s="162">
        <v>0</v>
      </c>
      <c r="I621" s="64">
        <v>0</v>
      </c>
      <c r="J621" s="64">
        <v>0</v>
      </c>
      <c r="K621" s="64">
        <v>0</v>
      </c>
      <c r="L621" s="64">
        <v>0</v>
      </c>
      <c r="M621" s="64">
        <v>0</v>
      </c>
      <c r="N621" s="64">
        <v>41250</v>
      </c>
    </row>
    <row r="622" spans="2:14" x14ac:dyDescent="0.2">
      <c r="B622" s="67"/>
      <c r="C622" s="66"/>
      <c r="D622" s="233" t="s">
        <v>247</v>
      </c>
      <c r="E622" s="234"/>
      <c r="F622" s="234"/>
      <c r="G622" s="79">
        <f t="shared" ref="G622:N622" si="157">G623+G634</f>
        <v>6654090</v>
      </c>
      <c r="H622" s="79">
        <f t="shared" si="157"/>
        <v>6879676</v>
      </c>
      <c r="I622" s="79">
        <f t="shared" si="157"/>
        <v>7184584</v>
      </c>
      <c r="J622" s="79">
        <f t="shared" si="157"/>
        <v>7444231</v>
      </c>
      <c r="K622" s="79">
        <f t="shared" si="157"/>
        <v>7683235.8499999996</v>
      </c>
      <c r="L622" s="79">
        <f t="shared" si="157"/>
        <v>8400915</v>
      </c>
      <c r="M622" s="79">
        <f t="shared" si="157"/>
        <v>8322847</v>
      </c>
      <c r="N622" s="79">
        <f t="shared" si="157"/>
        <v>8583907</v>
      </c>
    </row>
    <row r="623" spans="2:14" x14ac:dyDescent="0.2">
      <c r="B623" s="67"/>
      <c r="C623" s="66"/>
      <c r="D623" s="66"/>
      <c r="E623" s="232" t="s">
        <v>164</v>
      </c>
      <c r="F623" s="232"/>
      <c r="G623" s="73">
        <f>SUM(G624:G633)</f>
        <v>3028706</v>
      </c>
      <c r="H623" s="73">
        <f t="shared" ref="H623:N623" si="158">SUM(H624:H633)</f>
        <v>2936019</v>
      </c>
      <c r="I623" s="73">
        <f t="shared" si="158"/>
        <v>3210507</v>
      </c>
      <c r="J623" s="73">
        <f t="shared" si="158"/>
        <v>3598848</v>
      </c>
      <c r="K623" s="73">
        <f t="shared" si="158"/>
        <v>3870967.82</v>
      </c>
      <c r="L623" s="73">
        <f t="shared" si="158"/>
        <v>4061795</v>
      </c>
      <c r="M623" s="73">
        <f t="shared" si="158"/>
        <v>4356007</v>
      </c>
      <c r="N623" s="73">
        <f t="shared" si="158"/>
        <v>4238267</v>
      </c>
    </row>
    <row r="624" spans="2:14" x14ac:dyDescent="0.2">
      <c r="B624" s="67"/>
      <c r="C624" s="66"/>
      <c r="D624" s="66"/>
      <c r="E624" s="66"/>
      <c r="F624" s="213" t="s">
        <v>165</v>
      </c>
      <c r="G624" s="162">
        <v>62581</v>
      </c>
      <c r="H624" s="162">
        <v>65579</v>
      </c>
      <c r="I624" s="64">
        <v>75007</v>
      </c>
      <c r="J624" s="64">
        <v>150255</v>
      </c>
      <c r="K624" s="64">
        <v>145001.03</v>
      </c>
      <c r="L624" s="64">
        <v>144723</v>
      </c>
      <c r="M624" s="64">
        <v>185609</v>
      </c>
      <c r="N624" s="64">
        <v>222620</v>
      </c>
    </row>
    <row r="625" spans="2:14" x14ac:dyDescent="0.2">
      <c r="B625" s="67"/>
      <c r="C625" s="66"/>
      <c r="D625" s="66"/>
      <c r="E625" s="66"/>
      <c r="F625" s="213" t="s">
        <v>233</v>
      </c>
      <c r="G625" s="162">
        <v>2768410</v>
      </c>
      <c r="H625" s="162">
        <v>2714178</v>
      </c>
      <c r="I625" s="64">
        <v>2818998</v>
      </c>
      <c r="J625" s="64">
        <v>3131175</v>
      </c>
      <c r="K625" s="64">
        <v>3366570.67</v>
      </c>
      <c r="L625" s="64">
        <v>3625608</v>
      </c>
      <c r="M625" s="64">
        <v>3727298</v>
      </c>
      <c r="N625" s="64">
        <v>3663097</v>
      </c>
    </row>
    <row r="626" spans="2:14" x14ac:dyDescent="0.2">
      <c r="B626" s="67"/>
      <c r="C626" s="66"/>
      <c r="D626" s="66"/>
      <c r="E626" s="66"/>
      <c r="F626" s="213" t="s">
        <v>166</v>
      </c>
      <c r="G626" s="162">
        <v>32254</v>
      </c>
      <c r="H626" s="162">
        <v>283</v>
      </c>
      <c r="I626" s="64">
        <v>71695</v>
      </c>
      <c r="J626" s="64">
        <v>51519</v>
      </c>
      <c r="K626" s="64">
        <v>51984.5</v>
      </c>
      <c r="L626" s="64">
        <v>60264</v>
      </c>
      <c r="M626" s="64">
        <v>74400</v>
      </c>
      <c r="N626" s="64">
        <v>69750</v>
      </c>
    </row>
    <row r="627" spans="2:14" x14ac:dyDescent="0.2">
      <c r="B627" s="67"/>
      <c r="C627" s="66"/>
      <c r="D627" s="66"/>
      <c r="E627" s="66"/>
      <c r="F627" s="213" t="s">
        <v>190</v>
      </c>
      <c r="G627" s="162">
        <v>130460</v>
      </c>
      <c r="H627" s="162">
        <v>128862</v>
      </c>
      <c r="I627" s="64">
        <v>210591</v>
      </c>
      <c r="J627" s="64">
        <v>216652</v>
      </c>
      <c r="K627" s="64">
        <v>237927.2</v>
      </c>
      <c r="L627" s="64">
        <v>164500</v>
      </c>
      <c r="M627" s="64">
        <v>300000</v>
      </c>
      <c r="N627" s="64">
        <v>210000</v>
      </c>
    </row>
    <row r="628" spans="2:14" x14ac:dyDescent="0.2">
      <c r="B628" s="67"/>
      <c r="C628" s="66"/>
      <c r="D628" s="66"/>
      <c r="E628" s="66"/>
      <c r="F628" s="213" t="s">
        <v>234</v>
      </c>
      <c r="G628" s="162">
        <v>245</v>
      </c>
      <c r="H628" s="162">
        <v>292</v>
      </c>
      <c r="I628" s="64">
        <v>1871</v>
      </c>
      <c r="J628" s="64">
        <v>127</v>
      </c>
      <c r="K628" s="64">
        <v>265.37</v>
      </c>
      <c r="L628" s="64">
        <v>300</v>
      </c>
      <c r="M628" s="64">
        <v>300</v>
      </c>
      <c r="N628" s="64">
        <v>300</v>
      </c>
    </row>
    <row r="629" spans="2:14" x14ac:dyDescent="0.2">
      <c r="B629" s="67"/>
      <c r="C629" s="66"/>
      <c r="D629" s="66"/>
      <c r="E629" s="66"/>
      <c r="F629" s="213" t="s">
        <v>238</v>
      </c>
      <c r="G629" s="162">
        <v>250</v>
      </c>
      <c r="H629" s="162">
        <v>0</v>
      </c>
      <c r="I629" s="162">
        <v>0</v>
      </c>
      <c r="J629" s="162">
        <v>0</v>
      </c>
      <c r="K629" s="162">
        <v>0</v>
      </c>
      <c r="L629" s="162">
        <v>0</v>
      </c>
      <c r="M629" s="64">
        <v>0</v>
      </c>
      <c r="N629" s="64">
        <v>0</v>
      </c>
    </row>
    <row r="630" spans="2:14" x14ac:dyDescent="0.2">
      <c r="B630" s="67"/>
      <c r="C630" s="66"/>
      <c r="D630" s="66"/>
      <c r="E630" s="66"/>
      <c r="F630" s="213" t="s">
        <v>178</v>
      </c>
      <c r="G630" s="162">
        <v>11065</v>
      </c>
      <c r="H630" s="162">
        <v>5600</v>
      </c>
      <c r="I630" s="64">
        <v>12620</v>
      </c>
      <c r="J630" s="64">
        <v>4820</v>
      </c>
      <c r="K630" s="64">
        <v>10469.049999999999</v>
      </c>
      <c r="L630" s="64">
        <v>15000</v>
      </c>
      <c r="M630" s="64">
        <v>11500</v>
      </c>
      <c r="N630" s="64">
        <v>12000</v>
      </c>
    </row>
    <row r="631" spans="2:14" x14ac:dyDescent="0.2">
      <c r="B631" s="67"/>
      <c r="C631" s="66"/>
      <c r="D631" s="66"/>
      <c r="E631" s="66"/>
      <c r="F631" s="213" t="s">
        <v>225</v>
      </c>
      <c r="G631" s="162">
        <v>20725</v>
      </c>
      <c r="H631" s="162">
        <v>21225</v>
      </c>
      <c r="I631" s="64">
        <v>19725</v>
      </c>
      <c r="J631" s="64">
        <v>22500</v>
      </c>
      <c r="K631" s="64">
        <v>24250</v>
      </c>
      <c r="L631" s="64">
        <v>25000</v>
      </c>
      <c r="M631" s="64">
        <v>24500</v>
      </c>
      <c r="N631" s="64">
        <v>24500</v>
      </c>
    </row>
    <row r="632" spans="2:14" x14ac:dyDescent="0.2">
      <c r="B632" s="67"/>
      <c r="C632" s="66"/>
      <c r="D632" s="66"/>
      <c r="E632" s="66"/>
      <c r="F632" s="213" t="s">
        <v>235</v>
      </c>
      <c r="G632" s="162">
        <v>0</v>
      </c>
      <c r="H632" s="162">
        <v>0</v>
      </c>
      <c r="I632" s="64">
        <v>0</v>
      </c>
      <c r="J632" s="64">
        <v>21800</v>
      </c>
      <c r="K632" s="64">
        <v>34500</v>
      </c>
      <c r="L632" s="64">
        <v>26400</v>
      </c>
      <c r="M632" s="64">
        <v>32400</v>
      </c>
      <c r="N632" s="64">
        <v>36000</v>
      </c>
    </row>
    <row r="633" spans="2:14" x14ac:dyDescent="0.2">
      <c r="B633" s="67"/>
      <c r="C633" s="66"/>
      <c r="D633" s="66"/>
      <c r="E633" s="66"/>
      <c r="F633" s="213" t="s">
        <v>248</v>
      </c>
      <c r="G633" s="162">
        <v>2716</v>
      </c>
      <c r="H633" s="162">
        <v>0</v>
      </c>
      <c r="I633" s="64">
        <v>0</v>
      </c>
      <c r="J633" s="64">
        <v>0</v>
      </c>
      <c r="K633" s="64">
        <v>0</v>
      </c>
      <c r="L633" s="64">
        <v>0</v>
      </c>
      <c r="M633" s="64">
        <v>0</v>
      </c>
      <c r="N633" s="64">
        <v>0</v>
      </c>
    </row>
    <row r="634" spans="2:14" x14ac:dyDescent="0.2">
      <c r="B634" s="67"/>
      <c r="C634" s="66"/>
      <c r="D634" s="66"/>
      <c r="E634" s="235" t="s">
        <v>175</v>
      </c>
      <c r="F634" s="235"/>
      <c r="G634" s="68">
        <f t="shared" ref="G634:N634" si="159">SUM(G635:G637)</f>
        <v>3625384</v>
      </c>
      <c r="H634" s="68">
        <f t="shared" si="159"/>
        <v>3943657</v>
      </c>
      <c r="I634" s="68">
        <f t="shared" si="159"/>
        <v>3974077</v>
      </c>
      <c r="J634" s="68">
        <f t="shared" si="159"/>
        <v>3845383</v>
      </c>
      <c r="K634" s="68">
        <f t="shared" si="159"/>
        <v>3812268.0300000003</v>
      </c>
      <c r="L634" s="68">
        <f t="shared" si="159"/>
        <v>4339120</v>
      </c>
      <c r="M634" s="68">
        <f t="shared" si="159"/>
        <v>3966840</v>
      </c>
      <c r="N634" s="68">
        <f t="shared" si="159"/>
        <v>4345640</v>
      </c>
    </row>
    <row r="635" spans="2:14" x14ac:dyDescent="0.2">
      <c r="B635" s="67"/>
      <c r="C635" s="66"/>
      <c r="D635" s="66"/>
      <c r="E635" s="66"/>
      <c r="F635" s="213" t="s">
        <v>171</v>
      </c>
      <c r="G635" s="162">
        <v>3617985</v>
      </c>
      <c r="H635" s="162">
        <v>3936627</v>
      </c>
      <c r="I635" s="64">
        <v>3911830</v>
      </c>
      <c r="J635" s="64">
        <v>3788024</v>
      </c>
      <c r="K635" s="64">
        <f>2358.35+66242.16+86120+1161.58+4565.05+3582522.56</f>
        <v>3742969.7</v>
      </c>
      <c r="L635" s="64">
        <v>4176120</v>
      </c>
      <c r="M635" s="64">
        <v>3880440</v>
      </c>
      <c r="N635" s="64">
        <v>4192040</v>
      </c>
    </row>
    <row r="636" spans="2:14" x14ac:dyDescent="0.2">
      <c r="B636" s="67"/>
      <c r="C636" s="66"/>
      <c r="D636" s="66"/>
      <c r="E636" s="66"/>
      <c r="F636" s="213" t="s">
        <v>226</v>
      </c>
      <c r="G636" s="162">
        <v>7399</v>
      </c>
      <c r="H636" s="162">
        <v>7030</v>
      </c>
      <c r="I636" s="64">
        <v>9512</v>
      </c>
      <c r="J636" s="64">
        <v>11359</v>
      </c>
      <c r="K636" s="64">
        <v>10964.99</v>
      </c>
      <c r="L636" s="64">
        <v>13000</v>
      </c>
      <c r="M636" s="64">
        <v>11400</v>
      </c>
      <c r="N636" s="64">
        <v>13000</v>
      </c>
    </row>
    <row r="637" spans="2:14" x14ac:dyDescent="0.2">
      <c r="B637" s="67"/>
      <c r="C637" s="66"/>
      <c r="D637" s="66"/>
      <c r="E637" s="66"/>
      <c r="F637" s="213" t="s">
        <v>172</v>
      </c>
      <c r="G637" s="162">
        <v>0</v>
      </c>
      <c r="H637" s="162">
        <v>0</v>
      </c>
      <c r="I637" s="64">
        <v>52735</v>
      </c>
      <c r="J637" s="64">
        <v>46000</v>
      </c>
      <c r="K637" s="64">
        <v>58333.34</v>
      </c>
      <c r="L637" s="64">
        <v>150000</v>
      </c>
      <c r="M637" s="64">
        <v>75000</v>
      </c>
      <c r="N637" s="64">
        <v>140600</v>
      </c>
    </row>
    <row r="638" spans="2:14" x14ac:dyDescent="0.2">
      <c r="B638" s="67"/>
      <c r="C638" s="66"/>
      <c r="D638" s="232" t="s">
        <v>249</v>
      </c>
      <c r="E638" s="239"/>
      <c r="F638" s="239"/>
      <c r="G638" s="74">
        <f t="shared" ref="G638:N638" si="160">G639+G649</f>
        <v>1209855</v>
      </c>
      <c r="H638" s="74">
        <f t="shared" si="160"/>
        <v>1008275</v>
      </c>
      <c r="I638" s="74">
        <f t="shared" si="160"/>
        <v>1450313</v>
      </c>
      <c r="J638" s="74">
        <f t="shared" si="160"/>
        <v>1365322</v>
      </c>
      <c r="K638" s="74">
        <f t="shared" si="160"/>
        <v>1321951.27</v>
      </c>
      <c r="L638" s="74">
        <f t="shared" si="160"/>
        <v>1563199</v>
      </c>
      <c r="M638" s="74">
        <f t="shared" si="160"/>
        <v>1565531</v>
      </c>
      <c r="N638" s="74">
        <f t="shared" si="160"/>
        <v>1643949</v>
      </c>
    </row>
    <row r="639" spans="2:14" x14ac:dyDescent="0.2">
      <c r="B639" s="67"/>
      <c r="C639" s="66"/>
      <c r="D639" s="66"/>
      <c r="E639" s="232" t="s">
        <v>164</v>
      </c>
      <c r="F639" s="232"/>
      <c r="G639" s="73">
        <f>SUM(G640:G648)</f>
        <v>1104873</v>
      </c>
      <c r="H639" s="73">
        <f t="shared" ref="H639:N639" si="161">SUM(H640:H648)</f>
        <v>897899</v>
      </c>
      <c r="I639" s="73">
        <f t="shared" si="161"/>
        <v>1127352</v>
      </c>
      <c r="J639" s="73">
        <f t="shared" si="161"/>
        <v>1131705</v>
      </c>
      <c r="K639" s="73">
        <f t="shared" si="161"/>
        <v>1112696.49</v>
      </c>
      <c r="L639" s="73">
        <f t="shared" si="161"/>
        <v>1211798</v>
      </c>
      <c r="M639" s="73">
        <f t="shared" si="161"/>
        <v>1236500</v>
      </c>
      <c r="N639" s="73">
        <f t="shared" si="161"/>
        <v>1271348</v>
      </c>
    </row>
    <row r="640" spans="2:14" x14ac:dyDescent="0.2">
      <c r="B640" s="67"/>
      <c r="C640" s="66"/>
      <c r="D640" s="66"/>
      <c r="E640" s="66"/>
      <c r="F640" s="213" t="s">
        <v>165</v>
      </c>
      <c r="G640" s="162">
        <v>94639</v>
      </c>
      <c r="H640" s="162">
        <v>99516</v>
      </c>
      <c r="I640" s="64">
        <v>114588</v>
      </c>
      <c r="J640" s="64">
        <v>118627</v>
      </c>
      <c r="K640" s="64">
        <v>73419.08</v>
      </c>
      <c r="L640" s="64">
        <v>94923</v>
      </c>
      <c r="M640" s="64">
        <v>100406</v>
      </c>
      <c r="N640" s="64">
        <v>102324</v>
      </c>
    </row>
    <row r="641" spans="2:14" x14ac:dyDescent="0.2">
      <c r="B641" s="67"/>
      <c r="C641" s="66"/>
      <c r="D641" s="66"/>
      <c r="E641" s="66"/>
      <c r="F641" s="213" t="s">
        <v>233</v>
      </c>
      <c r="G641" s="162">
        <v>820088</v>
      </c>
      <c r="H641" s="162">
        <v>744607</v>
      </c>
      <c r="I641" s="64">
        <v>862242</v>
      </c>
      <c r="J641" s="64">
        <v>835078</v>
      </c>
      <c r="K641" s="64">
        <v>826857.02</v>
      </c>
      <c r="L641" s="64">
        <v>904245</v>
      </c>
      <c r="M641" s="64">
        <v>891234</v>
      </c>
      <c r="N641" s="64">
        <v>908274</v>
      </c>
    </row>
    <row r="642" spans="2:14" x14ac:dyDescent="0.2">
      <c r="B642" s="67"/>
      <c r="C642" s="66"/>
      <c r="D642" s="66"/>
      <c r="E642" s="66"/>
      <c r="F642" s="213" t="s">
        <v>166</v>
      </c>
      <c r="G642" s="162">
        <v>51456</v>
      </c>
      <c r="H642" s="162">
        <v>0</v>
      </c>
      <c r="I642" s="64">
        <v>18465</v>
      </c>
      <c r="J642" s="64">
        <v>43150</v>
      </c>
      <c r="K642" s="64">
        <v>40929</v>
      </c>
      <c r="L642" s="64">
        <v>74880</v>
      </c>
      <c r="M642" s="64">
        <v>79560</v>
      </c>
      <c r="N642" s="64">
        <v>81900</v>
      </c>
    </row>
    <row r="643" spans="2:14" x14ac:dyDescent="0.2">
      <c r="B643" s="67"/>
      <c r="C643" s="66"/>
      <c r="D643" s="66"/>
      <c r="E643" s="66"/>
      <c r="F643" s="213" t="s">
        <v>190</v>
      </c>
      <c r="G643" s="162">
        <v>123988</v>
      </c>
      <c r="H643" s="162">
        <v>40199</v>
      </c>
      <c r="I643" s="64">
        <v>117256</v>
      </c>
      <c r="J643" s="64">
        <v>111674</v>
      </c>
      <c r="K643" s="64">
        <v>124817.25</v>
      </c>
      <c r="L643" s="64">
        <v>100000</v>
      </c>
      <c r="M643" s="64">
        <v>125000</v>
      </c>
      <c r="N643" s="64">
        <v>130000</v>
      </c>
    </row>
    <row r="644" spans="2:14" x14ac:dyDescent="0.2">
      <c r="B644" s="67"/>
      <c r="C644" s="66"/>
      <c r="D644" s="66"/>
      <c r="E644" s="66"/>
      <c r="F644" s="213" t="s">
        <v>234</v>
      </c>
      <c r="G644" s="162">
        <v>1752</v>
      </c>
      <c r="H644" s="162">
        <v>633</v>
      </c>
      <c r="I644" s="64">
        <v>2189</v>
      </c>
      <c r="J644" s="64">
        <v>1346</v>
      </c>
      <c r="K644" s="64">
        <v>1680.4</v>
      </c>
      <c r="L644" s="64">
        <v>1500</v>
      </c>
      <c r="M644" s="64">
        <v>1800</v>
      </c>
      <c r="N644" s="64">
        <v>2000</v>
      </c>
    </row>
    <row r="645" spans="2:14" x14ac:dyDescent="0.2">
      <c r="B645" s="67"/>
      <c r="C645" s="66"/>
      <c r="D645" s="66"/>
      <c r="E645" s="66"/>
      <c r="F645" s="213" t="s">
        <v>178</v>
      </c>
      <c r="G645" s="162">
        <v>6441</v>
      </c>
      <c r="H645" s="162">
        <v>3994</v>
      </c>
      <c r="I645" s="64">
        <v>2912</v>
      </c>
      <c r="J645" s="64">
        <v>2380</v>
      </c>
      <c r="K645" s="64">
        <v>12693.74</v>
      </c>
      <c r="L645" s="64">
        <v>6000</v>
      </c>
      <c r="M645" s="64">
        <v>7000</v>
      </c>
      <c r="N645" s="64">
        <v>7000</v>
      </c>
    </row>
    <row r="646" spans="2:14" x14ac:dyDescent="0.2">
      <c r="B646" s="67"/>
      <c r="C646" s="66"/>
      <c r="D646" s="66"/>
      <c r="E646" s="66"/>
      <c r="F646" s="213" t="s">
        <v>225</v>
      </c>
      <c r="G646" s="162">
        <v>9225</v>
      </c>
      <c r="H646" s="162">
        <v>8950</v>
      </c>
      <c r="I646" s="64">
        <v>9700</v>
      </c>
      <c r="J646" s="64">
        <v>10250</v>
      </c>
      <c r="K646" s="64">
        <v>11000</v>
      </c>
      <c r="L646" s="64">
        <v>18250</v>
      </c>
      <c r="M646" s="64">
        <v>13500</v>
      </c>
      <c r="N646" s="64">
        <v>18250</v>
      </c>
    </row>
    <row r="647" spans="2:14" x14ac:dyDescent="0.2">
      <c r="B647" s="67"/>
      <c r="C647" s="66"/>
      <c r="D647" s="66"/>
      <c r="E647" s="66"/>
      <c r="F647" s="213" t="s">
        <v>235</v>
      </c>
      <c r="G647" s="162">
        <v>0</v>
      </c>
      <c r="H647" s="162">
        <v>0</v>
      </c>
      <c r="I647" s="64">
        <v>0</v>
      </c>
      <c r="J647" s="64">
        <v>9200</v>
      </c>
      <c r="K647" s="64">
        <v>21300</v>
      </c>
      <c r="L647" s="64">
        <v>12000</v>
      </c>
      <c r="M647" s="64">
        <v>18000</v>
      </c>
      <c r="N647" s="64">
        <v>21600</v>
      </c>
    </row>
    <row r="648" spans="2:14" x14ac:dyDescent="0.2">
      <c r="B648" s="67"/>
      <c r="C648" s="66"/>
      <c r="D648" s="66"/>
      <c r="E648" s="66"/>
      <c r="F648" s="213" t="s">
        <v>248</v>
      </c>
      <c r="G648" s="162">
        <v>-2716</v>
      </c>
      <c r="H648" s="162">
        <v>0</v>
      </c>
      <c r="I648" s="162">
        <v>0</v>
      </c>
      <c r="J648" s="162">
        <v>0</v>
      </c>
      <c r="K648" s="162">
        <v>0</v>
      </c>
      <c r="L648" s="162">
        <v>0</v>
      </c>
      <c r="M648" s="64">
        <v>0</v>
      </c>
      <c r="N648" s="64">
        <v>0</v>
      </c>
    </row>
    <row r="649" spans="2:14" x14ac:dyDescent="0.2">
      <c r="B649" s="67"/>
      <c r="C649" s="66"/>
      <c r="D649" s="66"/>
      <c r="E649" s="235" t="s">
        <v>175</v>
      </c>
      <c r="F649" s="235"/>
      <c r="G649" s="68">
        <f t="shared" ref="G649:N649" si="162">SUM(G650:G651)</f>
        <v>104982</v>
      </c>
      <c r="H649" s="68">
        <f t="shared" si="162"/>
        <v>110376</v>
      </c>
      <c r="I649" s="68">
        <f t="shared" si="162"/>
        <v>322961</v>
      </c>
      <c r="J649" s="68">
        <f t="shared" si="162"/>
        <v>233617</v>
      </c>
      <c r="K649" s="68">
        <f t="shared" si="162"/>
        <v>209254.78</v>
      </c>
      <c r="L649" s="68">
        <f t="shared" si="162"/>
        <v>351401</v>
      </c>
      <c r="M649" s="68">
        <f t="shared" si="162"/>
        <v>329031</v>
      </c>
      <c r="N649" s="68">
        <f t="shared" si="162"/>
        <v>372601</v>
      </c>
    </row>
    <row r="650" spans="2:14" x14ac:dyDescent="0.2">
      <c r="B650" s="67"/>
      <c r="C650" s="66"/>
      <c r="D650" s="66"/>
      <c r="E650" s="66"/>
      <c r="F650" s="213" t="s">
        <v>171</v>
      </c>
      <c r="G650" s="162">
        <v>98725</v>
      </c>
      <c r="H650" s="162">
        <v>105773</v>
      </c>
      <c r="I650" s="64">
        <v>316131</v>
      </c>
      <c r="J650" s="64">
        <v>226952</v>
      </c>
      <c r="K650" s="64">
        <f>3582.15+1308.12+22019.04+1366.39+108444.9+65620.19</f>
        <v>202340.79</v>
      </c>
      <c r="L650" s="64">
        <v>341401</v>
      </c>
      <c r="M650" s="64">
        <v>321831</v>
      </c>
      <c r="N650" s="64">
        <v>362601</v>
      </c>
    </row>
    <row r="651" spans="2:14" x14ac:dyDescent="0.2">
      <c r="B651" s="67"/>
      <c r="C651" s="66"/>
      <c r="D651" s="66"/>
      <c r="E651" s="66"/>
      <c r="F651" s="213" t="s">
        <v>226</v>
      </c>
      <c r="G651" s="162">
        <v>6257</v>
      </c>
      <c r="H651" s="162">
        <v>4603</v>
      </c>
      <c r="I651" s="64">
        <v>6830</v>
      </c>
      <c r="J651" s="64">
        <v>6665</v>
      </c>
      <c r="K651" s="64">
        <v>6913.99</v>
      </c>
      <c r="L651" s="64">
        <v>10000</v>
      </c>
      <c r="M651" s="64">
        <v>7200</v>
      </c>
      <c r="N651" s="64">
        <v>10000</v>
      </c>
    </row>
    <row r="652" spans="2:14" x14ac:dyDescent="0.2">
      <c r="B652" s="67"/>
      <c r="C652" s="66"/>
      <c r="D652" s="232" t="s">
        <v>250</v>
      </c>
      <c r="E652" s="239"/>
      <c r="F652" s="239"/>
      <c r="G652" s="74">
        <f t="shared" ref="G652:N652" si="163">G653+G663</f>
        <v>6653504</v>
      </c>
      <c r="H652" s="74">
        <f t="shared" si="163"/>
        <v>4784694</v>
      </c>
      <c r="I652" s="74">
        <f t="shared" si="163"/>
        <v>5360721</v>
      </c>
      <c r="J652" s="74">
        <f t="shared" si="163"/>
        <v>6176683</v>
      </c>
      <c r="K652" s="74">
        <f t="shared" si="163"/>
        <v>6426366.6399999987</v>
      </c>
      <c r="L652" s="74">
        <f t="shared" si="163"/>
        <v>8953385</v>
      </c>
      <c r="M652" s="74">
        <f t="shared" si="163"/>
        <v>8480418</v>
      </c>
      <c r="N652" s="74">
        <f t="shared" si="163"/>
        <v>9152687</v>
      </c>
    </row>
    <row r="653" spans="2:14" x14ac:dyDescent="0.2">
      <c r="B653" s="67"/>
      <c r="C653" s="66"/>
      <c r="D653" s="66"/>
      <c r="E653" s="232" t="s">
        <v>164</v>
      </c>
      <c r="F653" s="232"/>
      <c r="G653" s="73">
        <f t="shared" ref="G653:N653" si="164">SUM(G654:G662)</f>
        <v>976727</v>
      </c>
      <c r="H653" s="73">
        <f t="shared" si="164"/>
        <v>860598</v>
      </c>
      <c r="I653" s="73">
        <f t="shared" si="164"/>
        <v>961234</v>
      </c>
      <c r="J653" s="73">
        <f t="shared" si="164"/>
        <v>1132156</v>
      </c>
      <c r="K653" s="73">
        <f t="shared" si="164"/>
        <v>1172124.3900000001</v>
      </c>
      <c r="L653" s="73">
        <f t="shared" si="164"/>
        <v>1409622</v>
      </c>
      <c r="M653" s="73">
        <f t="shared" si="164"/>
        <v>1490777</v>
      </c>
      <c r="N653" s="73">
        <f t="shared" si="164"/>
        <v>1519140</v>
      </c>
    </row>
    <row r="654" spans="2:14" x14ac:dyDescent="0.2">
      <c r="B654" s="67"/>
      <c r="C654" s="66"/>
      <c r="D654" s="66"/>
      <c r="E654" s="66"/>
      <c r="F654" s="213" t="s">
        <v>165</v>
      </c>
      <c r="G654" s="162">
        <v>146850</v>
      </c>
      <c r="H654" s="162">
        <v>214869</v>
      </c>
      <c r="I654" s="64">
        <v>234580</v>
      </c>
      <c r="J654" s="64">
        <v>257268</v>
      </c>
      <c r="K654" s="64">
        <v>241122.71</v>
      </c>
      <c r="L654" s="64">
        <v>240400</v>
      </c>
      <c r="M654" s="64">
        <v>262634</v>
      </c>
      <c r="N654" s="64">
        <v>266197</v>
      </c>
    </row>
    <row r="655" spans="2:14" x14ac:dyDescent="0.2">
      <c r="B655" s="67"/>
      <c r="C655" s="66"/>
      <c r="D655" s="66"/>
      <c r="E655" s="66"/>
      <c r="F655" s="213" t="s">
        <v>233</v>
      </c>
      <c r="G655" s="162">
        <v>703039</v>
      </c>
      <c r="H655" s="162">
        <v>613249</v>
      </c>
      <c r="I655" s="64">
        <v>649068</v>
      </c>
      <c r="J655" s="64">
        <v>754880</v>
      </c>
      <c r="K655" s="64">
        <v>790719.53</v>
      </c>
      <c r="L655" s="64">
        <v>1024122</v>
      </c>
      <c r="M655" s="64">
        <v>1025838</v>
      </c>
      <c r="N655" s="64">
        <v>1047193</v>
      </c>
    </row>
    <row r="656" spans="2:14" x14ac:dyDescent="0.2">
      <c r="B656" s="67"/>
      <c r="C656" s="66"/>
      <c r="D656" s="66"/>
      <c r="E656" s="66"/>
      <c r="F656" s="213" t="s">
        <v>166</v>
      </c>
      <c r="G656" s="162">
        <v>59633</v>
      </c>
      <c r="H656" s="162">
        <v>0</v>
      </c>
      <c r="I656" s="64">
        <v>40658</v>
      </c>
      <c r="J656" s="64">
        <v>65724</v>
      </c>
      <c r="K656" s="64">
        <v>41486.57</v>
      </c>
      <c r="L656" s="64">
        <v>78000</v>
      </c>
      <c r="M656" s="64">
        <v>78000</v>
      </c>
      <c r="N656" s="64">
        <v>80600</v>
      </c>
    </row>
    <row r="657" spans="2:14" x14ac:dyDescent="0.2">
      <c r="B657" s="67"/>
      <c r="C657" s="66"/>
      <c r="D657" s="66"/>
      <c r="E657" s="66"/>
      <c r="F657" s="213" t="s">
        <v>190</v>
      </c>
      <c r="G657" s="162">
        <v>33560</v>
      </c>
      <c r="H657" s="162">
        <v>14815</v>
      </c>
      <c r="I657" s="64">
        <v>28277</v>
      </c>
      <c r="J657" s="64">
        <v>39125</v>
      </c>
      <c r="K657" s="64">
        <v>58173.71</v>
      </c>
      <c r="L657" s="64">
        <v>50000</v>
      </c>
      <c r="M657" s="64">
        <v>100000</v>
      </c>
      <c r="N657" s="64">
        <v>100000</v>
      </c>
    </row>
    <row r="658" spans="2:14" x14ac:dyDescent="0.2">
      <c r="B658" s="67"/>
      <c r="C658" s="66"/>
      <c r="D658" s="66"/>
      <c r="E658" s="66"/>
      <c r="F658" s="213" t="s">
        <v>198</v>
      </c>
      <c r="G658" s="162">
        <v>42</v>
      </c>
      <c r="H658" s="162">
        <v>2124</v>
      </c>
      <c r="I658" s="64">
        <v>2208</v>
      </c>
      <c r="J658" s="64">
        <v>533</v>
      </c>
      <c r="K658" s="64">
        <v>0</v>
      </c>
      <c r="L658" s="64">
        <v>0</v>
      </c>
      <c r="M658" s="64">
        <v>0</v>
      </c>
      <c r="N658" s="64">
        <v>0</v>
      </c>
    </row>
    <row r="659" spans="2:14" x14ac:dyDescent="0.2">
      <c r="B659" s="67"/>
      <c r="C659" s="66"/>
      <c r="D659" s="66"/>
      <c r="E659" s="66"/>
      <c r="F659" s="213" t="s">
        <v>234</v>
      </c>
      <c r="G659" s="162">
        <v>346</v>
      </c>
      <c r="H659" s="162">
        <v>148</v>
      </c>
      <c r="I659" s="64">
        <v>205</v>
      </c>
      <c r="J659" s="64">
        <v>347</v>
      </c>
      <c r="K659" s="64">
        <v>490.8</v>
      </c>
      <c r="L659" s="64">
        <v>0</v>
      </c>
      <c r="M659" s="64">
        <v>750</v>
      </c>
      <c r="N659" s="64">
        <v>750</v>
      </c>
    </row>
    <row r="660" spans="2:14" x14ac:dyDescent="0.2">
      <c r="B660" s="67"/>
      <c r="C660" s="66"/>
      <c r="D660" s="66"/>
      <c r="E660" s="66"/>
      <c r="F660" s="213" t="s">
        <v>178</v>
      </c>
      <c r="G660" s="162">
        <v>28807</v>
      </c>
      <c r="H660" s="162">
        <v>10943</v>
      </c>
      <c r="I660" s="64">
        <v>2788</v>
      </c>
      <c r="J660" s="64">
        <v>5879</v>
      </c>
      <c r="K660" s="64">
        <v>27931.07</v>
      </c>
      <c r="L660" s="64">
        <v>6500</v>
      </c>
      <c r="M660" s="64">
        <v>10805</v>
      </c>
      <c r="N660" s="64">
        <v>12000</v>
      </c>
    </row>
    <row r="661" spans="2:14" x14ac:dyDescent="0.2">
      <c r="B661" s="67"/>
      <c r="C661" s="66"/>
      <c r="D661" s="66"/>
      <c r="E661" s="66"/>
      <c r="F661" s="213" t="s">
        <v>225</v>
      </c>
      <c r="G661" s="162">
        <v>4450</v>
      </c>
      <c r="H661" s="162">
        <v>4450</v>
      </c>
      <c r="I661" s="64">
        <v>3450</v>
      </c>
      <c r="J661" s="64">
        <v>5500</v>
      </c>
      <c r="K661" s="64">
        <v>6500</v>
      </c>
      <c r="L661" s="64">
        <v>7000</v>
      </c>
      <c r="M661" s="64">
        <v>6750</v>
      </c>
      <c r="N661" s="64">
        <v>7000</v>
      </c>
    </row>
    <row r="662" spans="2:14" x14ac:dyDescent="0.2">
      <c r="B662" s="67"/>
      <c r="C662" s="66"/>
      <c r="D662" s="66"/>
      <c r="E662" s="66"/>
      <c r="F662" s="213" t="s">
        <v>235</v>
      </c>
      <c r="G662" s="162">
        <v>0</v>
      </c>
      <c r="H662" s="162">
        <v>0</v>
      </c>
      <c r="I662" s="64">
        <v>0</v>
      </c>
      <c r="J662" s="64">
        <v>2900</v>
      </c>
      <c r="K662" s="64">
        <v>5700</v>
      </c>
      <c r="L662" s="64">
        <v>3600</v>
      </c>
      <c r="M662" s="64">
        <v>6000</v>
      </c>
      <c r="N662" s="64">
        <v>5400</v>
      </c>
    </row>
    <row r="663" spans="2:14" x14ac:dyDescent="0.2">
      <c r="B663" s="67"/>
      <c r="C663" s="66"/>
      <c r="D663" s="66"/>
      <c r="E663" s="235" t="s">
        <v>175</v>
      </c>
      <c r="F663" s="235"/>
      <c r="G663" s="68">
        <f t="shared" ref="G663:N663" si="165">SUM(G664:G673)</f>
        <v>5676777</v>
      </c>
      <c r="H663" s="68">
        <f t="shared" si="165"/>
        <v>3924096</v>
      </c>
      <c r="I663" s="68">
        <f t="shared" si="165"/>
        <v>4399487</v>
      </c>
      <c r="J663" s="68">
        <f t="shared" si="165"/>
        <v>5044527</v>
      </c>
      <c r="K663" s="68">
        <f t="shared" si="165"/>
        <v>5254242.2499999991</v>
      </c>
      <c r="L663" s="68">
        <f t="shared" si="165"/>
        <v>7543763</v>
      </c>
      <c r="M663" s="68">
        <f t="shared" si="165"/>
        <v>6989641</v>
      </c>
      <c r="N663" s="68">
        <f t="shared" si="165"/>
        <v>7633547</v>
      </c>
    </row>
    <row r="664" spans="2:14" x14ac:dyDescent="0.2">
      <c r="B664" s="67"/>
      <c r="C664" s="66"/>
      <c r="D664" s="66"/>
      <c r="E664" s="66"/>
      <c r="F664" s="213" t="s">
        <v>171</v>
      </c>
      <c r="G664" s="162">
        <v>806531</v>
      </c>
      <c r="H664" s="162">
        <v>838687</v>
      </c>
      <c r="I664" s="64">
        <v>1384710</v>
      </c>
      <c r="J664" s="64">
        <v>1432077</v>
      </c>
      <c r="K664" s="64">
        <f>892934.98+52550+450.33+124701.63+8652.06+1046899.01+8651.61</f>
        <v>2134839.6199999996</v>
      </c>
      <c r="L664" s="64">
        <v>2764000</v>
      </c>
      <c r="M664" s="64">
        <v>2472650</v>
      </c>
      <c r="N664" s="64">
        <v>2790000</v>
      </c>
    </row>
    <row r="665" spans="2:14" x14ac:dyDescent="0.2">
      <c r="B665" s="67"/>
      <c r="C665" s="66"/>
      <c r="D665" s="66"/>
      <c r="E665" s="66"/>
      <c r="F665" s="213" t="s">
        <v>201</v>
      </c>
      <c r="G665" s="162">
        <v>0</v>
      </c>
      <c r="H665" s="162">
        <v>0</v>
      </c>
      <c r="I665" s="64">
        <v>0</v>
      </c>
      <c r="J665" s="64">
        <v>0</v>
      </c>
      <c r="K665" s="64">
        <v>240.1</v>
      </c>
      <c r="L665" s="64">
        <v>4000</v>
      </c>
      <c r="M665" s="64">
        <v>2800</v>
      </c>
      <c r="N665" s="64">
        <v>3500</v>
      </c>
    </row>
    <row r="666" spans="2:14" x14ac:dyDescent="0.2">
      <c r="B666" s="67"/>
      <c r="C666" s="66"/>
      <c r="D666" s="66"/>
      <c r="E666" s="66"/>
      <c r="F666" s="213" t="s">
        <v>226</v>
      </c>
      <c r="G666" s="162">
        <v>1996</v>
      </c>
      <c r="H666" s="162">
        <v>800</v>
      </c>
      <c r="I666" s="64">
        <v>1453</v>
      </c>
      <c r="J666" s="64">
        <v>2061</v>
      </c>
      <c r="K666" s="64">
        <v>2931.02</v>
      </c>
      <c r="L666" s="64">
        <v>3000</v>
      </c>
      <c r="M666" s="64">
        <v>2900</v>
      </c>
      <c r="N666" s="64">
        <v>3200</v>
      </c>
    </row>
    <row r="667" spans="2:14" x14ac:dyDescent="0.2">
      <c r="B667" s="67"/>
      <c r="C667" s="66"/>
      <c r="D667" s="66"/>
      <c r="E667" s="66"/>
      <c r="F667" s="213" t="s">
        <v>188</v>
      </c>
      <c r="G667" s="162">
        <v>3084843</v>
      </c>
      <c r="H667" s="162">
        <v>1133232</v>
      </c>
      <c r="I667" s="64">
        <v>1079421</v>
      </c>
      <c r="J667" s="64">
        <v>1324666</v>
      </c>
      <c r="K667" s="64">
        <f>751515.39+270938.83</f>
        <v>1022454.22</v>
      </c>
      <c r="L667" s="64">
        <v>1318020</v>
      </c>
      <c r="M667" s="64">
        <v>1320000</v>
      </c>
      <c r="N667" s="64">
        <v>1232095</v>
      </c>
    </row>
    <row r="668" spans="2:14" x14ac:dyDescent="0.2">
      <c r="B668" s="67"/>
      <c r="C668" s="66"/>
      <c r="D668" s="66"/>
      <c r="E668" s="66"/>
      <c r="F668" s="213" t="s">
        <v>172</v>
      </c>
      <c r="G668" s="162">
        <v>1761864</v>
      </c>
      <c r="H668" s="162">
        <v>1931151</v>
      </c>
      <c r="I668" s="64">
        <v>2319231</v>
      </c>
      <c r="J668" s="64">
        <v>2211349</v>
      </c>
      <c r="K668" s="64">
        <v>1987177.73</v>
      </c>
      <c r="L668" s="64">
        <v>3732815</v>
      </c>
      <c r="M668" s="64">
        <v>3064224</v>
      </c>
      <c r="N668" s="64">
        <v>3498000</v>
      </c>
    </row>
    <row r="669" spans="2:14" x14ac:dyDescent="0.2">
      <c r="B669" s="67"/>
      <c r="C669" s="66"/>
      <c r="D669" s="66"/>
      <c r="E669" s="66"/>
      <c r="F669" s="213" t="s">
        <v>173</v>
      </c>
      <c r="G669" s="162">
        <v>0</v>
      </c>
      <c r="H669" s="162">
        <v>0</v>
      </c>
      <c r="I669" s="64">
        <v>0</v>
      </c>
      <c r="J669" s="64">
        <v>0</v>
      </c>
      <c r="K669" s="64">
        <v>0</v>
      </c>
      <c r="L669" s="64">
        <v>1500</v>
      </c>
      <c r="M669" s="64">
        <v>500</v>
      </c>
      <c r="N669" s="64">
        <v>1500</v>
      </c>
    </row>
    <row r="670" spans="2:14" x14ac:dyDescent="0.2">
      <c r="B670" s="67"/>
      <c r="C670" s="66"/>
      <c r="D670" s="66"/>
      <c r="E670" s="66"/>
      <c r="F670" s="213" t="s">
        <v>181</v>
      </c>
      <c r="G670" s="162">
        <v>0</v>
      </c>
      <c r="H670" s="162">
        <v>0</v>
      </c>
      <c r="I670" s="64">
        <v>0</v>
      </c>
      <c r="J670" s="64">
        <v>59560</v>
      </c>
      <c r="K670" s="64">
        <v>82235.02</v>
      </c>
      <c r="L670" s="64">
        <v>126688</v>
      </c>
      <c r="M670" s="64">
        <v>109304</v>
      </c>
      <c r="N670" s="64">
        <v>112762</v>
      </c>
    </row>
    <row r="671" spans="2:14" x14ac:dyDescent="0.2">
      <c r="B671" s="67"/>
      <c r="C671" s="66"/>
      <c r="D671" s="66"/>
      <c r="E671" s="66"/>
      <c r="F671" s="213" t="s">
        <v>182</v>
      </c>
      <c r="G671" s="162">
        <v>968</v>
      </c>
      <c r="H671" s="162">
        <v>2989</v>
      </c>
      <c r="I671" s="64">
        <v>448</v>
      </c>
      <c r="J671" s="64">
        <v>-6</v>
      </c>
      <c r="K671" s="64">
        <v>342.22</v>
      </c>
      <c r="L671" s="64">
        <v>500</v>
      </c>
      <c r="M671" s="64">
        <v>25</v>
      </c>
      <c r="N671" s="64">
        <v>0</v>
      </c>
    </row>
    <row r="672" spans="2:14" x14ac:dyDescent="0.2">
      <c r="B672" s="67"/>
      <c r="C672" s="66"/>
      <c r="D672" s="66"/>
      <c r="E672" s="66"/>
      <c r="F672" s="213" t="s">
        <v>207</v>
      </c>
      <c r="G672" s="162">
        <v>20575</v>
      </c>
      <c r="H672" s="162">
        <v>17237</v>
      </c>
      <c r="I672" s="64">
        <v>14400</v>
      </c>
      <c r="J672" s="64">
        <v>14820</v>
      </c>
      <c r="K672" s="64">
        <v>24022.32</v>
      </c>
      <c r="L672" s="64">
        <v>18240</v>
      </c>
      <c r="M672" s="64">
        <v>17238</v>
      </c>
      <c r="N672" s="64">
        <v>17490</v>
      </c>
    </row>
    <row r="673" spans="2:14" x14ac:dyDescent="0.2">
      <c r="B673" s="67"/>
      <c r="C673" s="66"/>
      <c r="D673" s="66"/>
      <c r="E673" s="66"/>
      <c r="F673" s="213" t="s">
        <v>183</v>
      </c>
      <c r="G673" s="162">
        <v>0</v>
      </c>
      <c r="H673" s="162">
        <v>0</v>
      </c>
      <c r="I673" s="64">
        <v>-400176</v>
      </c>
      <c r="J673" s="64">
        <v>0</v>
      </c>
      <c r="K673" s="64">
        <v>0</v>
      </c>
      <c r="L673" s="64">
        <v>-425000</v>
      </c>
      <c r="M673" s="64">
        <v>0</v>
      </c>
      <c r="N673" s="64">
        <v>-25000</v>
      </c>
    </row>
    <row r="674" spans="2:14" x14ac:dyDescent="0.2">
      <c r="B674" s="67"/>
      <c r="C674" s="236" t="s">
        <v>89</v>
      </c>
      <c r="D674" s="236"/>
      <c r="E674" s="236"/>
      <c r="F674" s="236"/>
      <c r="G674" s="71">
        <f>G675+G703+G724+G746</f>
        <v>46910588.460000001</v>
      </c>
      <c r="H674" s="71">
        <f t="shared" ref="H674:N674" si="166">H675+H703</f>
        <v>42889077</v>
      </c>
      <c r="I674" s="71">
        <f t="shared" si="166"/>
        <v>47984888</v>
      </c>
      <c r="J674" s="71">
        <f t="shared" si="166"/>
        <v>53352446</v>
      </c>
      <c r="K674" s="71">
        <f t="shared" si="166"/>
        <v>57740580.57</v>
      </c>
      <c r="L674" s="71">
        <f t="shared" si="166"/>
        <v>63236681</v>
      </c>
      <c r="M674" s="71">
        <f t="shared" si="166"/>
        <v>62833634</v>
      </c>
      <c r="N674" s="71">
        <f t="shared" si="166"/>
        <v>65773163</v>
      </c>
    </row>
    <row r="675" spans="2:14" x14ac:dyDescent="0.2">
      <c r="B675" s="67"/>
      <c r="C675" s="66"/>
      <c r="D675" s="232" t="s">
        <v>251</v>
      </c>
      <c r="E675" s="239"/>
      <c r="F675" s="239"/>
      <c r="G675" s="74">
        <f t="shared" ref="G675:N675" si="167">G676+G688+G691</f>
        <v>38014955</v>
      </c>
      <c r="H675" s="74">
        <f t="shared" si="167"/>
        <v>39040325</v>
      </c>
      <c r="I675" s="74">
        <f t="shared" si="167"/>
        <v>43965018</v>
      </c>
      <c r="J675" s="74">
        <f t="shared" si="167"/>
        <v>47945721</v>
      </c>
      <c r="K675" s="74">
        <f t="shared" si="167"/>
        <v>52323109.789999999</v>
      </c>
      <c r="L675" s="74">
        <f t="shared" si="167"/>
        <v>55858809</v>
      </c>
      <c r="M675" s="74">
        <f t="shared" si="167"/>
        <v>55854200</v>
      </c>
      <c r="N675" s="74">
        <f t="shared" si="167"/>
        <v>57697300</v>
      </c>
    </row>
    <row r="676" spans="2:14" x14ac:dyDescent="0.2">
      <c r="B676" s="67"/>
      <c r="C676" s="66"/>
      <c r="D676" s="66"/>
      <c r="E676" s="232" t="s">
        <v>164</v>
      </c>
      <c r="F676" s="232"/>
      <c r="G676" s="73">
        <f t="shared" ref="G676:N676" si="168">SUM(G677:G687)</f>
        <v>37073272</v>
      </c>
      <c r="H676" s="73">
        <f t="shared" si="168"/>
        <v>35340476</v>
      </c>
      <c r="I676" s="73">
        <f t="shared" si="168"/>
        <v>39114941</v>
      </c>
      <c r="J676" s="73">
        <f t="shared" si="168"/>
        <v>43032776</v>
      </c>
      <c r="K676" s="73">
        <f t="shared" si="168"/>
        <v>46242924.799999997</v>
      </c>
      <c r="L676" s="73">
        <f t="shared" si="168"/>
        <v>46260059</v>
      </c>
      <c r="M676" s="73">
        <f t="shared" si="168"/>
        <v>46712000</v>
      </c>
      <c r="N676" s="73">
        <f t="shared" si="168"/>
        <v>47490700</v>
      </c>
    </row>
    <row r="677" spans="2:14" x14ac:dyDescent="0.2">
      <c r="B677" s="67"/>
      <c r="C677" s="66"/>
      <c r="D677" s="66"/>
      <c r="E677" s="66"/>
      <c r="F677" s="213" t="s">
        <v>165</v>
      </c>
      <c r="G677" s="162">
        <v>28384693</v>
      </c>
      <c r="H677" s="162">
        <v>28827355</v>
      </c>
      <c r="I677" s="64">
        <v>30599756</v>
      </c>
      <c r="J677" s="64">
        <v>33075654</v>
      </c>
      <c r="K677" s="64">
        <v>34823710.539999999</v>
      </c>
      <c r="L677" s="64">
        <v>37546809</v>
      </c>
      <c r="M677" s="64">
        <v>36549000</v>
      </c>
      <c r="N677" s="64">
        <v>38466450</v>
      </c>
    </row>
    <row r="678" spans="2:14" x14ac:dyDescent="0.2">
      <c r="B678" s="67"/>
      <c r="C678" s="66"/>
      <c r="D678" s="66"/>
      <c r="E678" s="66"/>
      <c r="F678" s="213" t="s">
        <v>190</v>
      </c>
      <c r="G678" s="162">
        <v>7949160</v>
      </c>
      <c r="H678" s="162">
        <v>4594499</v>
      </c>
      <c r="I678" s="64">
        <v>6973052</v>
      </c>
      <c r="J678" s="64">
        <v>9083914</v>
      </c>
      <c r="K678" s="64">
        <v>9692689.1799999997</v>
      </c>
      <c r="L678" s="64">
        <v>6500000</v>
      </c>
      <c r="M678" s="64">
        <v>8000000</v>
      </c>
      <c r="N678" s="64">
        <v>6500000</v>
      </c>
    </row>
    <row r="679" spans="2:14" x14ac:dyDescent="0.2">
      <c r="B679" s="67"/>
      <c r="C679" s="66"/>
      <c r="D679" s="66"/>
      <c r="E679" s="66"/>
      <c r="F679" s="213" t="s">
        <v>252</v>
      </c>
      <c r="G679" s="162">
        <v>1395879</v>
      </c>
      <c r="H679" s="162">
        <v>1502260</v>
      </c>
      <c r="I679" s="64">
        <v>1614721</v>
      </c>
      <c r="J679" s="64">
        <v>1572896</v>
      </c>
      <c r="K679" s="64">
        <v>1664247.1</v>
      </c>
      <c r="L679" s="64">
        <v>1900000</v>
      </c>
      <c r="M679" s="64">
        <v>1750000</v>
      </c>
      <c r="N679" s="64">
        <v>2027000</v>
      </c>
    </row>
    <row r="680" spans="2:14" x14ac:dyDescent="0.2">
      <c r="B680" s="67"/>
      <c r="C680" s="66"/>
      <c r="D680" s="66"/>
      <c r="E680" s="66"/>
      <c r="F680" s="213" t="s">
        <v>234</v>
      </c>
      <c r="G680" s="162">
        <v>394498</v>
      </c>
      <c r="H680" s="162">
        <v>409180</v>
      </c>
      <c r="I680" s="64">
        <v>372548</v>
      </c>
      <c r="J680" s="64">
        <v>390317</v>
      </c>
      <c r="K680" s="64">
        <v>225076</v>
      </c>
      <c r="L680" s="64">
        <v>450000</v>
      </c>
      <c r="M680" s="64">
        <v>330000</v>
      </c>
      <c r="N680" s="64">
        <v>400000</v>
      </c>
    </row>
    <row r="681" spans="2:14" x14ac:dyDescent="0.2">
      <c r="B681" s="67"/>
      <c r="C681" s="66"/>
      <c r="D681" s="66"/>
      <c r="E681" s="66"/>
      <c r="F681" s="213" t="s">
        <v>225</v>
      </c>
      <c r="G681" s="162">
        <v>0</v>
      </c>
      <c r="H681" s="162">
        <v>0</v>
      </c>
      <c r="I681" s="64">
        <v>0</v>
      </c>
      <c r="J681" s="64">
        <v>0</v>
      </c>
      <c r="K681" s="64">
        <v>282750</v>
      </c>
      <c r="L681" s="64">
        <v>317250</v>
      </c>
      <c r="M681" s="64">
        <v>290000</v>
      </c>
      <c r="N681" s="64">
        <v>317250</v>
      </c>
    </row>
    <row r="682" spans="2:14" x14ac:dyDescent="0.2">
      <c r="B682" s="67"/>
      <c r="C682" s="66"/>
      <c r="D682" s="66"/>
      <c r="E682" s="66"/>
      <c r="F682" s="213" t="s">
        <v>253</v>
      </c>
      <c r="G682" s="162">
        <v>22553</v>
      </c>
      <c r="H682" s="162">
        <v>32980</v>
      </c>
      <c r="I682" s="64">
        <v>38980</v>
      </c>
      <c r="J682" s="64">
        <v>15048</v>
      </c>
      <c r="K682" s="64">
        <v>0</v>
      </c>
      <c r="L682" s="64">
        <v>25000</v>
      </c>
      <c r="M682" s="64">
        <v>20000</v>
      </c>
      <c r="N682" s="64">
        <v>95000</v>
      </c>
    </row>
    <row r="683" spans="2:14" x14ac:dyDescent="0.2">
      <c r="B683" s="67"/>
      <c r="C683" s="66"/>
      <c r="D683" s="66"/>
      <c r="E683" s="66"/>
      <c r="F683" s="213" t="s">
        <v>235</v>
      </c>
      <c r="G683" s="162">
        <v>294000</v>
      </c>
      <c r="H683" s="162">
        <v>343200</v>
      </c>
      <c r="I683" s="64">
        <v>259200</v>
      </c>
      <c r="J683" s="64">
        <v>253200</v>
      </c>
      <c r="K683" s="64">
        <v>1073287</v>
      </c>
      <c r="L683" s="64">
        <v>1000000</v>
      </c>
      <c r="M683" s="64">
        <v>1142000</v>
      </c>
      <c r="N683" s="64">
        <v>1185000</v>
      </c>
    </row>
    <row r="684" spans="2:14" x14ac:dyDescent="0.2">
      <c r="B684" s="67"/>
      <c r="C684" s="66"/>
      <c r="D684" s="66"/>
      <c r="E684" s="66"/>
      <c r="F684" s="213" t="s">
        <v>254</v>
      </c>
      <c r="G684" s="162">
        <v>246955</v>
      </c>
      <c r="H684" s="162">
        <v>311095</v>
      </c>
      <c r="I684" s="64">
        <v>183295</v>
      </c>
      <c r="J684" s="64">
        <v>164284</v>
      </c>
      <c r="K684" s="64">
        <v>161208.57999999999</v>
      </c>
      <c r="L684" s="64">
        <v>225000</v>
      </c>
      <c r="M684" s="64">
        <v>200000</v>
      </c>
      <c r="N684" s="64">
        <v>250000</v>
      </c>
    </row>
    <row r="685" spans="2:14" x14ac:dyDescent="0.2">
      <c r="B685" s="67"/>
      <c r="C685" s="66"/>
      <c r="D685" s="66"/>
      <c r="E685" s="66"/>
      <c r="F685" s="213" t="s">
        <v>255</v>
      </c>
      <c r="G685" s="162">
        <v>549817</v>
      </c>
      <c r="H685" s="162">
        <v>299290</v>
      </c>
      <c r="I685" s="64">
        <v>356013</v>
      </c>
      <c r="J685" s="64">
        <v>362559</v>
      </c>
      <c r="K685" s="64">
        <v>246037.33</v>
      </c>
      <c r="L685" s="64">
        <v>0</v>
      </c>
      <c r="M685" s="64">
        <v>135000</v>
      </c>
      <c r="N685" s="64">
        <v>0</v>
      </c>
    </row>
    <row r="686" spans="2:14" x14ac:dyDescent="0.2">
      <c r="B686" s="67"/>
      <c r="C686" s="66"/>
      <c r="D686" s="66"/>
      <c r="E686" s="66"/>
      <c r="F686" s="213" t="s">
        <v>179</v>
      </c>
      <c r="G686" s="162">
        <v>-1139882</v>
      </c>
      <c r="H686" s="162">
        <v>-12384</v>
      </c>
      <c r="I686" s="64">
        <v>-1104410</v>
      </c>
      <c r="J686" s="64">
        <v>-915846</v>
      </c>
      <c r="K686" s="64">
        <v>-2030685.33</v>
      </c>
      <c r="L686" s="64">
        <v>-1125000</v>
      </c>
      <c r="M686" s="64">
        <v>-1125000</v>
      </c>
      <c r="N686" s="64">
        <v>-1170000</v>
      </c>
    </row>
    <row r="687" spans="2:14" x14ac:dyDescent="0.2">
      <c r="B687" s="67"/>
      <c r="C687" s="66"/>
      <c r="D687" s="66"/>
      <c r="E687" s="66"/>
      <c r="F687" s="213" t="s">
        <v>180</v>
      </c>
      <c r="G687" s="162">
        <v>-1024401</v>
      </c>
      <c r="H687" s="162">
        <v>-966999</v>
      </c>
      <c r="I687" s="64">
        <v>-178214</v>
      </c>
      <c r="J687" s="64">
        <v>-969250</v>
      </c>
      <c r="K687" s="64">
        <v>104604.4</v>
      </c>
      <c r="L687" s="64">
        <v>-579000</v>
      </c>
      <c r="M687" s="64">
        <v>-579000</v>
      </c>
      <c r="N687" s="64">
        <v>-580000</v>
      </c>
    </row>
    <row r="688" spans="2:14" x14ac:dyDescent="0.2">
      <c r="B688" s="67"/>
      <c r="C688" s="66"/>
      <c r="D688" s="66"/>
      <c r="E688" s="235" t="s">
        <v>167</v>
      </c>
      <c r="F688" s="235"/>
      <c r="G688" s="65">
        <f t="shared" ref="G688:N688" si="169">SUM(G689:G690)</f>
        <v>25765</v>
      </c>
      <c r="H688" s="65">
        <f t="shared" si="169"/>
        <v>151979</v>
      </c>
      <c r="I688" s="65">
        <f t="shared" si="169"/>
        <v>52512</v>
      </c>
      <c r="J688" s="65">
        <f t="shared" si="169"/>
        <v>38455</v>
      </c>
      <c r="K688" s="65">
        <f t="shared" si="169"/>
        <v>35486.25</v>
      </c>
      <c r="L688" s="65">
        <f t="shared" si="169"/>
        <v>105500</v>
      </c>
      <c r="M688" s="65">
        <f t="shared" si="169"/>
        <v>72200</v>
      </c>
      <c r="N688" s="65">
        <f t="shared" si="169"/>
        <v>115000</v>
      </c>
    </row>
    <row r="689" spans="2:14" x14ac:dyDescent="0.2">
      <c r="B689" s="67"/>
      <c r="C689" s="66"/>
      <c r="D689" s="66"/>
      <c r="E689" s="66"/>
      <c r="F689" s="213" t="s">
        <v>168</v>
      </c>
      <c r="G689" s="162">
        <v>0</v>
      </c>
      <c r="H689" s="162">
        <v>136909</v>
      </c>
      <c r="I689" s="70">
        <v>20485</v>
      </c>
      <c r="J689" s="70">
        <v>3338</v>
      </c>
      <c r="K689" s="70">
        <v>0</v>
      </c>
      <c r="L689" s="70">
        <v>37500</v>
      </c>
      <c r="M689" s="70">
        <v>33000</v>
      </c>
      <c r="N689" s="70">
        <v>45000</v>
      </c>
    </row>
    <row r="690" spans="2:14" x14ac:dyDescent="0.2">
      <c r="B690" s="67"/>
      <c r="C690" s="66"/>
      <c r="D690" s="66"/>
      <c r="E690" s="66"/>
      <c r="F690" s="213" t="s">
        <v>200</v>
      </c>
      <c r="G690" s="162">
        <v>25765</v>
      </c>
      <c r="H690" s="162">
        <v>15070</v>
      </c>
      <c r="I690" s="64">
        <v>32027</v>
      </c>
      <c r="J690" s="64">
        <v>35117</v>
      </c>
      <c r="K690" s="64">
        <f>26486.25+9000</f>
        <v>35486.25</v>
      </c>
      <c r="L690" s="64">
        <v>68000</v>
      </c>
      <c r="M690" s="64">
        <v>39200</v>
      </c>
      <c r="N690" s="64">
        <v>70000</v>
      </c>
    </row>
    <row r="691" spans="2:14" x14ac:dyDescent="0.2">
      <c r="B691" s="67"/>
      <c r="C691" s="66"/>
      <c r="D691" s="66"/>
      <c r="E691" s="235" t="s">
        <v>256</v>
      </c>
      <c r="F691" s="235"/>
      <c r="G691" s="77">
        <f t="shared" ref="G691:N691" si="170">SUM(G692:G702)</f>
        <v>915918</v>
      </c>
      <c r="H691" s="77">
        <f t="shared" si="170"/>
        <v>3547870</v>
      </c>
      <c r="I691" s="77">
        <f t="shared" si="170"/>
        <v>4797565</v>
      </c>
      <c r="J691" s="77">
        <f t="shared" si="170"/>
        <v>4874490</v>
      </c>
      <c r="K691" s="77">
        <f t="shared" si="170"/>
        <v>6044698.7400000002</v>
      </c>
      <c r="L691" s="77">
        <f t="shared" si="170"/>
        <v>9493250</v>
      </c>
      <c r="M691" s="77">
        <f t="shared" si="170"/>
        <v>9070000</v>
      </c>
      <c r="N691" s="77">
        <f t="shared" si="170"/>
        <v>10091600</v>
      </c>
    </row>
    <row r="692" spans="2:14" x14ac:dyDescent="0.2">
      <c r="B692" s="67"/>
      <c r="C692" s="66"/>
      <c r="D692" s="66"/>
      <c r="E692" s="66"/>
      <c r="F692" s="213" t="s">
        <v>242</v>
      </c>
      <c r="G692" s="162">
        <v>0</v>
      </c>
      <c r="H692" s="162">
        <v>17737</v>
      </c>
      <c r="I692" s="76">
        <v>31271</v>
      </c>
      <c r="J692" s="76">
        <v>38534</v>
      </c>
      <c r="K692" s="76">
        <f>6336.63+16050.47+1224.86</f>
        <v>23611.96</v>
      </c>
      <c r="L692" s="76">
        <v>43000</v>
      </c>
      <c r="M692" s="76">
        <v>38500</v>
      </c>
      <c r="N692" s="76">
        <v>46500</v>
      </c>
    </row>
    <row r="693" spans="2:14" x14ac:dyDescent="0.2">
      <c r="B693" s="67"/>
      <c r="C693" s="66"/>
      <c r="D693" s="66"/>
      <c r="E693" s="66"/>
      <c r="F693" s="213" t="s">
        <v>243</v>
      </c>
      <c r="G693" s="162">
        <v>0</v>
      </c>
      <c r="H693" s="162">
        <v>330726</v>
      </c>
      <c r="I693" s="64">
        <v>329318</v>
      </c>
      <c r="J693" s="64">
        <v>389472</v>
      </c>
      <c r="K693" s="64">
        <f>94217.12+277035.24</f>
        <v>371252.36</v>
      </c>
      <c r="L693" s="64">
        <v>557000</v>
      </c>
      <c r="M693" s="64">
        <v>521000</v>
      </c>
      <c r="N693" s="64">
        <v>604500</v>
      </c>
    </row>
    <row r="694" spans="2:14" x14ac:dyDescent="0.2">
      <c r="B694" s="67"/>
      <c r="C694" s="66"/>
      <c r="D694" s="66"/>
      <c r="E694" s="66"/>
      <c r="F694" s="213" t="s">
        <v>170</v>
      </c>
      <c r="G694" s="162">
        <v>20637</v>
      </c>
      <c r="H694" s="162">
        <v>108157</v>
      </c>
      <c r="I694" s="64">
        <v>105881</v>
      </c>
      <c r="J694" s="64">
        <v>130259</v>
      </c>
      <c r="K694" s="64">
        <f>70678.46+54987.63</f>
        <v>125666.09</v>
      </c>
      <c r="L694" s="64">
        <v>187000</v>
      </c>
      <c r="M694" s="64">
        <v>192000</v>
      </c>
      <c r="N694" s="64">
        <v>200000</v>
      </c>
    </row>
    <row r="695" spans="2:14" x14ac:dyDescent="0.2">
      <c r="B695" s="67"/>
      <c r="C695" s="66"/>
      <c r="D695" s="66"/>
      <c r="E695" s="66"/>
      <c r="F695" s="213" t="s">
        <v>171</v>
      </c>
      <c r="G695" s="162">
        <v>316423</v>
      </c>
      <c r="H695" s="162">
        <v>1308027</v>
      </c>
      <c r="I695" s="64">
        <v>2128642</v>
      </c>
      <c r="J695" s="64">
        <v>2060015</v>
      </c>
      <c r="K695" s="64">
        <f>21517.51+8076.9+149323.8+4691.5+1687008.27+352830.8+289110.21+3289.29+217075.54</f>
        <v>2732923.82</v>
      </c>
      <c r="L695" s="64">
        <v>4822550</v>
      </c>
      <c r="M695" s="64">
        <v>4893300</v>
      </c>
      <c r="N695" s="64">
        <v>5250600</v>
      </c>
    </row>
    <row r="696" spans="2:14" x14ac:dyDescent="0.2">
      <c r="B696" s="67"/>
      <c r="C696" s="66"/>
      <c r="D696" s="66"/>
      <c r="E696" s="66"/>
      <c r="F696" s="213" t="s">
        <v>201</v>
      </c>
      <c r="G696" s="162">
        <v>3962</v>
      </c>
      <c r="H696" s="162">
        <v>314657</v>
      </c>
      <c r="I696" s="64">
        <v>250576</v>
      </c>
      <c r="J696" s="64">
        <v>311395</v>
      </c>
      <c r="K696" s="64">
        <f>257736.6+27102.21</f>
        <v>284838.81</v>
      </c>
      <c r="L696" s="64">
        <v>406200</v>
      </c>
      <c r="M696" s="64">
        <v>349100</v>
      </c>
      <c r="N696" s="64">
        <v>396500</v>
      </c>
    </row>
    <row r="697" spans="2:14" x14ac:dyDescent="0.2">
      <c r="B697" s="67"/>
      <c r="C697" s="66"/>
      <c r="D697" s="66"/>
      <c r="E697" s="66"/>
      <c r="F697" s="213" t="s">
        <v>226</v>
      </c>
      <c r="G697" s="162">
        <v>406370</v>
      </c>
      <c r="H697" s="162">
        <v>306202</v>
      </c>
      <c r="I697" s="64">
        <v>345612</v>
      </c>
      <c r="J697" s="64">
        <v>370309</v>
      </c>
      <c r="K697" s="64">
        <f>89690.77+45065.39+80837.74+87.75</f>
        <v>215681.65000000002</v>
      </c>
      <c r="L697" s="64">
        <v>237500</v>
      </c>
      <c r="M697" s="64">
        <v>179300</v>
      </c>
      <c r="N697" s="64">
        <v>238500</v>
      </c>
    </row>
    <row r="698" spans="2:14" x14ac:dyDescent="0.2">
      <c r="B698" s="67"/>
      <c r="C698" s="66"/>
      <c r="D698" s="66"/>
      <c r="E698" s="66"/>
      <c r="F698" s="213" t="s">
        <v>188</v>
      </c>
      <c r="G698" s="162">
        <v>0</v>
      </c>
      <c r="H698" s="162">
        <v>416703</v>
      </c>
      <c r="I698" s="64">
        <v>419557</v>
      </c>
      <c r="J698" s="64">
        <v>505027</v>
      </c>
      <c r="K698" s="64">
        <f>15744.82+70407.23+198441.29+98381.7+107662.17+66000</f>
        <v>556637.21</v>
      </c>
      <c r="L698" s="64">
        <v>666500</v>
      </c>
      <c r="M698" s="64">
        <v>633000</v>
      </c>
      <c r="N698" s="64">
        <v>698500</v>
      </c>
    </row>
    <row r="699" spans="2:14" x14ac:dyDescent="0.2">
      <c r="B699" s="67"/>
      <c r="C699" s="66"/>
      <c r="D699" s="66"/>
      <c r="E699" s="66"/>
      <c r="F699" s="213" t="s">
        <v>172</v>
      </c>
      <c r="G699" s="162">
        <v>164806</v>
      </c>
      <c r="H699" s="162">
        <v>687883</v>
      </c>
      <c r="I699" s="64">
        <v>991054</v>
      </c>
      <c r="J699" s="64">
        <v>899542</v>
      </c>
      <c r="K699" s="64">
        <f>1487991.84</f>
        <v>1487991.84</v>
      </c>
      <c r="L699" s="64">
        <v>2289500</v>
      </c>
      <c r="M699" s="64">
        <v>1987300</v>
      </c>
      <c r="N699" s="64">
        <v>2347000</v>
      </c>
    </row>
    <row r="700" spans="2:14" x14ac:dyDescent="0.2">
      <c r="B700" s="67"/>
      <c r="C700" s="66"/>
      <c r="D700" s="66"/>
      <c r="E700" s="66"/>
      <c r="F700" s="213" t="s">
        <v>173</v>
      </c>
      <c r="G700" s="162">
        <v>0</v>
      </c>
      <c r="H700" s="162">
        <v>44392</v>
      </c>
      <c r="I700" s="64">
        <v>181365</v>
      </c>
      <c r="J700" s="64">
        <v>138588</v>
      </c>
      <c r="K700" s="64">
        <f>123500.62+95669.79+7664.72</f>
        <v>226835.12999999998</v>
      </c>
      <c r="L700" s="64">
        <v>242500</v>
      </c>
      <c r="M700" s="64">
        <v>241500</v>
      </c>
      <c r="N700" s="64">
        <v>267500</v>
      </c>
    </row>
    <row r="701" spans="2:14" x14ac:dyDescent="0.2">
      <c r="B701" s="67"/>
      <c r="C701" s="66"/>
      <c r="D701" s="66"/>
      <c r="E701" s="66"/>
      <c r="F701" s="213" t="s">
        <v>182</v>
      </c>
      <c r="G701" s="162">
        <v>0</v>
      </c>
      <c r="H701" s="162">
        <v>13386</v>
      </c>
      <c r="I701" s="64">
        <v>14289</v>
      </c>
      <c r="J701" s="64">
        <v>8999</v>
      </c>
      <c r="K701" s="64">
        <v>9359.8700000000008</v>
      </c>
      <c r="L701" s="64">
        <v>16500</v>
      </c>
      <c r="M701" s="64">
        <v>15000</v>
      </c>
      <c r="N701" s="64">
        <v>17000</v>
      </c>
    </row>
    <row r="702" spans="2:14" x14ac:dyDescent="0.2">
      <c r="B702" s="67"/>
      <c r="C702" s="66"/>
      <c r="D702" s="66"/>
      <c r="E702" s="66"/>
      <c r="F702" s="213" t="s">
        <v>257</v>
      </c>
      <c r="G702" s="162">
        <v>3720</v>
      </c>
      <c r="H702" s="162">
        <v>0</v>
      </c>
      <c r="I702" s="64">
        <v>0</v>
      </c>
      <c r="J702" s="64">
        <v>22350</v>
      </c>
      <c r="K702" s="64">
        <v>9900</v>
      </c>
      <c r="L702" s="64">
        <v>25000</v>
      </c>
      <c r="M702" s="64">
        <v>20000</v>
      </c>
      <c r="N702" s="64">
        <v>25000</v>
      </c>
    </row>
    <row r="703" spans="2:14" x14ac:dyDescent="0.2">
      <c r="B703" s="67"/>
      <c r="C703" s="66"/>
      <c r="D703" s="233" t="s">
        <v>258</v>
      </c>
      <c r="E703" s="234"/>
      <c r="F703" s="234"/>
      <c r="G703" s="79">
        <f t="shared" ref="G703:N703" si="171">G704+G717</f>
        <v>1746822</v>
      </c>
      <c r="H703" s="79">
        <f t="shared" si="171"/>
        <v>3848752</v>
      </c>
      <c r="I703" s="79">
        <f t="shared" si="171"/>
        <v>4019870</v>
      </c>
      <c r="J703" s="79">
        <f t="shared" si="171"/>
        <v>5406725</v>
      </c>
      <c r="K703" s="79">
        <f t="shared" si="171"/>
        <v>5417470.7799999993</v>
      </c>
      <c r="L703" s="79">
        <f t="shared" si="171"/>
        <v>7377872</v>
      </c>
      <c r="M703" s="79">
        <f t="shared" si="171"/>
        <v>6979434</v>
      </c>
      <c r="N703" s="79">
        <f t="shared" si="171"/>
        <v>8075863</v>
      </c>
    </row>
    <row r="704" spans="2:14" x14ac:dyDescent="0.2">
      <c r="B704" s="67"/>
      <c r="C704" s="66"/>
      <c r="D704" s="66"/>
      <c r="E704" s="232" t="s">
        <v>164</v>
      </c>
      <c r="F704" s="232"/>
      <c r="G704" s="73">
        <f t="shared" ref="G704:N704" si="172">SUM(G705:G716)</f>
        <v>1746822</v>
      </c>
      <c r="H704" s="73">
        <f t="shared" si="172"/>
        <v>3729156</v>
      </c>
      <c r="I704" s="73">
        <f t="shared" si="172"/>
        <v>3873323</v>
      </c>
      <c r="J704" s="73">
        <f t="shared" si="172"/>
        <v>5126136</v>
      </c>
      <c r="K704" s="73">
        <f t="shared" si="172"/>
        <v>4907560.5199999996</v>
      </c>
      <c r="L704" s="73">
        <f t="shared" si="172"/>
        <v>6305627</v>
      </c>
      <c r="M704" s="73">
        <f t="shared" si="172"/>
        <v>6192239</v>
      </c>
      <c r="N704" s="73">
        <f t="shared" si="172"/>
        <v>7055816</v>
      </c>
    </row>
    <row r="705" spans="2:14" x14ac:dyDescent="0.2">
      <c r="B705" s="67"/>
      <c r="C705" s="66"/>
      <c r="D705" s="66"/>
      <c r="E705" s="66"/>
      <c r="F705" s="213" t="s">
        <v>165</v>
      </c>
      <c r="G705" s="162">
        <v>1093944</v>
      </c>
      <c r="H705" s="162">
        <v>2484740</v>
      </c>
      <c r="I705" s="64">
        <v>2496658</v>
      </c>
      <c r="J705" s="64">
        <v>3184480</v>
      </c>
      <c r="K705" s="64">
        <v>2916898.83</v>
      </c>
      <c r="L705" s="64">
        <v>3660847</v>
      </c>
      <c r="M705" s="64">
        <v>3443024</v>
      </c>
      <c r="N705" s="64">
        <v>3809392</v>
      </c>
    </row>
    <row r="706" spans="2:14" x14ac:dyDescent="0.2">
      <c r="B706" s="67"/>
      <c r="C706" s="66"/>
      <c r="D706" s="66"/>
      <c r="E706" s="66"/>
      <c r="F706" s="213" t="s">
        <v>233</v>
      </c>
      <c r="G706" s="162">
        <v>0</v>
      </c>
      <c r="H706" s="162">
        <v>412650</v>
      </c>
      <c r="I706" s="64">
        <v>421356</v>
      </c>
      <c r="J706" s="64">
        <v>474200</v>
      </c>
      <c r="K706" s="64">
        <v>478458.17</v>
      </c>
      <c r="L706" s="64">
        <v>653280</v>
      </c>
      <c r="M706" s="64">
        <v>487989</v>
      </c>
      <c r="N706" s="64">
        <v>728524</v>
      </c>
    </row>
    <row r="707" spans="2:14" x14ac:dyDescent="0.2">
      <c r="B707" s="67"/>
      <c r="C707" s="66"/>
      <c r="D707" s="66"/>
      <c r="E707" s="66"/>
      <c r="F707" s="213" t="s">
        <v>166</v>
      </c>
      <c r="G707" s="162">
        <v>519724</v>
      </c>
      <c r="H707" s="162">
        <v>612855</v>
      </c>
      <c r="I707" s="64">
        <v>797644</v>
      </c>
      <c r="J707" s="64">
        <v>1045651</v>
      </c>
      <c r="K707" s="64">
        <v>1044858.59</v>
      </c>
      <c r="L707" s="64">
        <v>2271000</v>
      </c>
      <c r="M707" s="64">
        <v>1878826</v>
      </c>
      <c r="N707" s="64">
        <v>2725000</v>
      </c>
    </row>
    <row r="708" spans="2:14" x14ac:dyDescent="0.2">
      <c r="B708" s="67"/>
      <c r="C708" s="66"/>
      <c r="D708" s="66"/>
      <c r="E708" s="66"/>
      <c r="F708" s="213" t="s">
        <v>190</v>
      </c>
      <c r="G708" s="162">
        <v>74230</v>
      </c>
      <c r="H708" s="162">
        <v>116692</v>
      </c>
      <c r="I708" s="64">
        <v>215809</v>
      </c>
      <c r="J708" s="64">
        <v>302366</v>
      </c>
      <c r="K708" s="64">
        <v>307268.77</v>
      </c>
      <c r="L708" s="64">
        <v>282500</v>
      </c>
      <c r="M708" s="64">
        <v>304500</v>
      </c>
      <c r="N708" s="64">
        <v>340000</v>
      </c>
    </row>
    <row r="709" spans="2:14" x14ac:dyDescent="0.2">
      <c r="B709" s="67"/>
      <c r="C709" s="66"/>
      <c r="D709" s="66"/>
      <c r="E709" s="66"/>
      <c r="F709" s="213" t="s">
        <v>252</v>
      </c>
      <c r="G709" s="162">
        <v>32061</v>
      </c>
      <c r="H709" s="162">
        <v>53629</v>
      </c>
      <c r="I709" s="64">
        <v>54447</v>
      </c>
      <c r="J709" s="64">
        <v>64523</v>
      </c>
      <c r="K709" s="64">
        <v>71965.61</v>
      </c>
      <c r="L709" s="64">
        <v>86000</v>
      </c>
      <c r="M709" s="64">
        <v>82000</v>
      </c>
      <c r="N709" s="64">
        <v>102000</v>
      </c>
    </row>
    <row r="710" spans="2:14" x14ac:dyDescent="0.2">
      <c r="B710" s="67"/>
      <c r="C710" s="66"/>
      <c r="D710" s="66"/>
      <c r="E710" s="66"/>
      <c r="F710" s="213" t="s">
        <v>234</v>
      </c>
      <c r="G710" s="162">
        <v>1935</v>
      </c>
      <c r="H710" s="162">
        <v>6146</v>
      </c>
      <c r="I710" s="64">
        <v>4134</v>
      </c>
      <c r="J710" s="64">
        <v>3462</v>
      </c>
      <c r="K710" s="64">
        <v>3016.09</v>
      </c>
      <c r="L710" s="64">
        <v>7500</v>
      </c>
      <c r="M710" s="64">
        <v>4500</v>
      </c>
      <c r="N710" s="64">
        <v>7500</v>
      </c>
    </row>
    <row r="711" spans="2:14" x14ac:dyDescent="0.2">
      <c r="B711" s="67"/>
      <c r="C711" s="66"/>
      <c r="D711" s="66"/>
      <c r="E711" s="66"/>
      <c r="F711" s="213" t="s">
        <v>238</v>
      </c>
      <c r="G711" s="162">
        <v>0</v>
      </c>
      <c r="H711" s="162">
        <v>1500</v>
      </c>
      <c r="I711" s="64">
        <v>1500</v>
      </c>
      <c r="J711" s="64">
        <v>1750</v>
      </c>
      <c r="K711" s="64">
        <v>1400</v>
      </c>
      <c r="L711" s="64">
        <v>2750</v>
      </c>
      <c r="M711" s="64">
        <v>1750</v>
      </c>
      <c r="N711" s="64">
        <v>2750</v>
      </c>
    </row>
    <row r="712" spans="2:14" x14ac:dyDescent="0.2">
      <c r="B712" s="67"/>
      <c r="C712" s="66"/>
      <c r="D712" s="66"/>
      <c r="E712" s="66"/>
      <c r="F712" s="213" t="s">
        <v>178</v>
      </c>
      <c r="G712" s="162">
        <v>238</v>
      </c>
      <c r="H712" s="162">
        <v>11344</v>
      </c>
      <c r="I712" s="64">
        <v>564</v>
      </c>
      <c r="J712" s="64">
        <v>30921</v>
      </c>
      <c r="K712" s="64">
        <v>40213.03</v>
      </c>
      <c r="L712" s="64">
        <v>0</v>
      </c>
      <c r="M712" s="64">
        <v>0</v>
      </c>
      <c r="N712" s="64">
        <v>0</v>
      </c>
    </row>
    <row r="713" spans="2:14" x14ac:dyDescent="0.2">
      <c r="B713" s="67"/>
      <c r="C713" s="66"/>
      <c r="D713" s="66"/>
      <c r="E713" s="66"/>
      <c r="F713" s="213" t="s">
        <v>225</v>
      </c>
      <c r="G713" s="162">
        <v>22740</v>
      </c>
      <c r="H713" s="162">
        <v>29600</v>
      </c>
      <c r="I713" s="64">
        <v>29600</v>
      </c>
      <c r="J713" s="64">
        <v>37040</v>
      </c>
      <c r="K713" s="64">
        <v>37510</v>
      </c>
      <c r="L713" s="64">
        <v>41750</v>
      </c>
      <c r="M713" s="64">
        <v>39650</v>
      </c>
      <c r="N713" s="64">
        <v>40650</v>
      </c>
    </row>
    <row r="714" spans="2:14" x14ac:dyDescent="0.2">
      <c r="B714" s="67"/>
      <c r="C714" s="66"/>
      <c r="D714" s="66"/>
      <c r="E714" s="66"/>
      <c r="F714" s="213" t="s">
        <v>235</v>
      </c>
      <c r="G714" s="162">
        <v>0</v>
      </c>
      <c r="H714" s="162">
        <v>0</v>
      </c>
      <c r="I714" s="64">
        <v>0</v>
      </c>
      <c r="J714" s="64">
        <v>5029</v>
      </c>
      <c r="K714" s="64">
        <v>5971.43</v>
      </c>
      <c r="L714" s="64">
        <v>0</v>
      </c>
      <c r="M714" s="64">
        <v>0</v>
      </c>
      <c r="N714" s="64">
        <v>0</v>
      </c>
    </row>
    <row r="715" spans="2:14" x14ac:dyDescent="0.2">
      <c r="B715" s="67"/>
      <c r="C715" s="66"/>
      <c r="D715" s="66"/>
      <c r="E715" s="66"/>
      <c r="F715" s="213" t="s">
        <v>254</v>
      </c>
      <c r="G715" s="162">
        <v>1950</v>
      </c>
      <c r="H715" s="162">
        <v>0</v>
      </c>
      <c r="I715" s="162">
        <v>0</v>
      </c>
      <c r="J715" s="162">
        <v>0</v>
      </c>
      <c r="K715" s="162">
        <v>0</v>
      </c>
      <c r="L715" s="162">
        <v>0</v>
      </c>
      <c r="M715" s="64">
        <v>0</v>
      </c>
      <c r="N715" s="64">
        <v>0</v>
      </c>
    </row>
    <row r="716" spans="2:14" x14ac:dyDescent="0.2">
      <c r="B716" s="67"/>
      <c r="C716" s="66"/>
      <c r="D716" s="66"/>
      <c r="E716" s="66"/>
      <c r="F716" s="213" t="s">
        <v>179</v>
      </c>
      <c r="G716" s="162">
        <v>0</v>
      </c>
      <c r="H716" s="162">
        <v>0</v>
      </c>
      <c r="I716" s="64">
        <v>-148389</v>
      </c>
      <c r="J716" s="64">
        <v>-23286</v>
      </c>
      <c r="K716" s="64">
        <v>0</v>
      </c>
      <c r="L716" s="64">
        <v>-700000</v>
      </c>
      <c r="M716" s="64">
        <v>-50000</v>
      </c>
      <c r="N716" s="64">
        <v>-700000</v>
      </c>
    </row>
    <row r="717" spans="2:14" x14ac:dyDescent="0.2">
      <c r="B717" s="67"/>
      <c r="C717" s="66"/>
      <c r="D717" s="66"/>
      <c r="E717" s="235" t="s">
        <v>175</v>
      </c>
      <c r="F717" s="235"/>
      <c r="G717" s="68">
        <f t="shared" ref="G717:N717" si="173">SUM(G718:G723)</f>
        <v>0</v>
      </c>
      <c r="H717" s="68">
        <f t="shared" si="173"/>
        <v>119596</v>
      </c>
      <c r="I717" s="68">
        <f t="shared" si="173"/>
        <v>146547</v>
      </c>
      <c r="J717" s="68">
        <f t="shared" si="173"/>
        <v>280589</v>
      </c>
      <c r="K717" s="68">
        <f t="shared" si="173"/>
        <v>509910.26</v>
      </c>
      <c r="L717" s="68">
        <f t="shared" si="173"/>
        <v>1072245</v>
      </c>
      <c r="M717" s="68">
        <f t="shared" si="173"/>
        <v>787195</v>
      </c>
      <c r="N717" s="68">
        <f t="shared" si="173"/>
        <v>1020047</v>
      </c>
    </row>
    <row r="718" spans="2:14" x14ac:dyDescent="0.2">
      <c r="B718" s="67"/>
      <c r="C718" s="66"/>
      <c r="D718" s="66"/>
      <c r="E718" s="66"/>
      <c r="F718" s="213" t="s">
        <v>243</v>
      </c>
      <c r="G718" s="162">
        <v>0</v>
      </c>
      <c r="H718" s="162">
        <v>0</v>
      </c>
      <c r="I718" s="64">
        <v>0</v>
      </c>
      <c r="J718" s="64">
        <v>0</v>
      </c>
      <c r="K718" s="64">
        <v>0</v>
      </c>
      <c r="L718" s="64">
        <v>1500</v>
      </c>
      <c r="M718" s="64">
        <v>1000</v>
      </c>
      <c r="N718" s="64">
        <v>1500</v>
      </c>
    </row>
    <row r="719" spans="2:14" x14ac:dyDescent="0.2">
      <c r="B719" s="67"/>
      <c r="C719" s="66"/>
      <c r="D719" s="66"/>
      <c r="E719" s="66"/>
      <c r="F719" s="213" t="s">
        <v>171</v>
      </c>
      <c r="G719" s="162">
        <v>0</v>
      </c>
      <c r="H719" s="162">
        <v>3141</v>
      </c>
      <c r="I719" s="64">
        <v>37903</v>
      </c>
      <c r="J719" s="64">
        <v>5818</v>
      </c>
      <c r="K719" s="64">
        <f>3403.09+4780.16</f>
        <v>8183.25</v>
      </c>
      <c r="L719" s="64">
        <v>233500</v>
      </c>
      <c r="M719" s="64">
        <v>82700</v>
      </c>
      <c r="N719" s="64">
        <v>84000</v>
      </c>
    </row>
    <row r="720" spans="2:14" x14ac:dyDescent="0.2">
      <c r="B720" s="67"/>
      <c r="C720" s="66"/>
      <c r="D720" s="66"/>
      <c r="E720" s="66"/>
      <c r="F720" s="213" t="s">
        <v>226</v>
      </c>
      <c r="G720" s="162">
        <v>0</v>
      </c>
      <c r="H720" s="162">
        <v>450</v>
      </c>
      <c r="I720" s="64">
        <v>513</v>
      </c>
      <c r="J720" s="64">
        <v>766</v>
      </c>
      <c r="K720" s="64">
        <f>725.72+300</f>
        <v>1025.72</v>
      </c>
      <c r="L720" s="64">
        <v>5325</v>
      </c>
      <c r="M720" s="64">
        <v>3725</v>
      </c>
      <c r="N720" s="64">
        <v>5475</v>
      </c>
    </row>
    <row r="721" spans="2:14" x14ac:dyDescent="0.2">
      <c r="B721" s="67"/>
      <c r="C721" s="66"/>
      <c r="D721" s="66"/>
      <c r="E721" s="66"/>
      <c r="F721" s="213" t="s">
        <v>172</v>
      </c>
      <c r="G721" s="162">
        <v>0</v>
      </c>
      <c r="H721" s="162">
        <v>116005</v>
      </c>
      <c r="I721" s="64">
        <v>107109</v>
      </c>
      <c r="J721" s="64">
        <v>17828</v>
      </c>
      <c r="K721" s="64">
        <f>26023</f>
        <v>26023</v>
      </c>
      <c r="L721" s="64">
        <v>50000</v>
      </c>
      <c r="M721" s="64">
        <v>45000</v>
      </c>
      <c r="N721" s="64">
        <v>50000</v>
      </c>
    </row>
    <row r="722" spans="2:14" x14ac:dyDescent="0.2">
      <c r="B722" s="67"/>
      <c r="C722" s="66"/>
      <c r="D722" s="66"/>
      <c r="E722" s="66"/>
      <c r="F722" s="213" t="s">
        <v>173</v>
      </c>
      <c r="G722" s="162">
        <v>0</v>
      </c>
      <c r="H722" s="162">
        <v>0</v>
      </c>
      <c r="I722" s="64">
        <v>1022</v>
      </c>
      <c r="J722" s="64">
        <v>0</v>
      </c>
      <c r="K722" s="64">
        <v>0</v>
      </c>
      <c r="L722" s="64">
        <v>0</v>
      </c>
      <c r="M722" s="64">
        <v>0</v>
      </c>
      <c r="N722" s="64">
        <v>0</v>
      </c>
    </row>
    <row r="723" spans="2:14" x14ac:dyDescent="0.2">
      <c r="B723" s="67"/>
      <c r="C723" s="66"/>
      <c r="D723" s="66"/>
      <c r="E723" s="66"/>
      <c r="F723" s="213" t="s">
        <v>181</v>
      </c>
      <c r="G723" s="162">
        <v>0</v>
      </c>
      <c r="H723" s="162">
        <v>0</v>
      </c>
      <c r="I723" s="64">
        <v>0</v>
      </c>
      <c r="J723" s="64">
        <v>256177</v>
      </c>
      <c r="K723" s="64">
        <f>474678.29</f>
        <v>474678.29</v>
      </c>
      <c r="L723" s="64">
        <v>781920</v>
      </c>
      <c r="M723" s="64">
        <v>654770</v>
      </c>
      <c r="N723" s="64">
        <v>879072</v>
      </c>
    </row>
    <row r="724" spans="2:14" x14ac:dyDescent="0.2">
      <c r="B724" s="67"/>
      <c r="C724" s="66"/>
      <c r="D724" s="232" t="s">
        <v>259</v>
      </c>
      <c r="E724" s="239"/>
      <c r="F724" s="239"/>
      <c r="G724" s="74">
        <f>G725+G733+G735</f>
        <v>5291964.3199999994</v>
      </c>
      <c r="H724" s="74">
        <f t="shared" ref="H724:L724" si="174">H725+H733+H735</f>
        <v>0</v>
      </c>
      <c r="I724" s="74">
        <f t="shared" si="174"/>
        <v>0</v>
      </c>
      <c r="J724" s="74">
        <f t="shared" si="174"/>
        <v>0</v>
      </c>
      <c r="K724" s="74">
        <f t="shared" si="174"/>
        <v>0</v>
      </c>
      <c r="L724" s="74">
        <f t="shared" si="174"/>
        <v>0</v>
      </c>
      <c r="M724" s="74">
        <f t="shared" ref="M724" si="175">M725+M733+M735</f>
        <v>0</v>
      </c>
      <c r="N724" s="74">
        <f t="shared" ref="N724" si="176">N725+N733+N735</f>
        <v>0</v>
      </c>
    </row>
    <row r="725" spans="2:14" x14ac:dyDescent="0.2">
      <c r="B725" s="67"/>
      <c r="C725" s="66"/>
      <c r="D725" s="66"/>
      <c r="E725" s="232" t="s">
        <v>164</v>
      </c>
      <c r="F725" s="232"/>
      <c r="G725" s="73">
        <f t="shared" ref="G725:L725" si="177">SUM(G726:G732)</f>
        <v>1897579.89</v>
      </c>
      <c r="H725" s="73">
        <f t="shared" si="177"/>
        <v>0</v>
      </c>
      <c r="I725" s="73">
        <f t="shared" si="177"/>
        <v>0</v>
      </c>
      <c r="J725" s="73">
        <f t="shared" si="177"/>
        <v>0</v>
      </c>
      <c r="K725" s="73">
        <f t="shared" si="177"/>
        <v>0</v>
      </c>
      <c r="L725" s="73">
        <f t="shared" si="177"/>
        <v>0</v>
      </c>
      <c r="M725" s="73">
        <f t="shared" ref="M725" si="178">SUM(M726:M732)</f>
        <v>0</v>
      </c>
      <c r="N725" s="73">
        <f t="shared" ref="N725" si="179">SUM(N726:N732)</f>
        <v>0</v>
      </c>
    </row>
    <row r="726" spans="2:14" x14ac:dyDescent="0.2">
      <c r="B726" s="67"/>
      <c r="C726" s="66"/>
      <c r="D726" s="66"/>
      <c r="E726" s="66"/>
      <c r="F726" s="213" t="s">
        <v>165</v>
      </c>
      <c r="G726" s="162">
        <v>1413714.3</v>
      </c>
      <c r="H726" s="162">
        <v>0</v>
      </c>
      <c r="I726" s="162">
        <v>0</v>
      </c>
      <c r="J726" s="162">
        <v>0</v>
      </c>
      <c r="K726" s="162">
        <v>0</v>
      </c>
      <c r="L726" s="162">
        <v>0</v>
      </c>
      <c r="M726" s="162">
        <v>0</v>
      </c>
      <c r="N726" s="162">
        <v>0</v>
      </c>
    </row>
    <row r="727" spans="2:14" x14ac:dyDescent="0.2">
      <c r="B727" s="67"/>
      <c r="C727" s="66"/>
      <c r="D727" s="66"/>
      <c r="E727" s="66"/>
      <c r="F727" s="213" t="s">
        <v>190</v>
      </c>
      <c r="G727" s="162">
        <v>326309.53999999998</v>
      </c>
      <c r="H727" s="162">
        <v>0</v>
      </c>
      <c r="I727" s="162">
        <v>0</v>
      </c>
      <c r="J727" s="162">
        <v>0</v>
      </c>
      <c r="K727" s="162">
        <v>0</v>
      </c>
      <c r="L727" s="162">
        <v>0</v>
      </c>
      <c r="M727" s="162">
        <v>0</v>
      </c>
      <c r="N727" s="162">
        <v>0</v>
      </c>
    </row>
    <row r="728" spans="2:14" x14ac:dyDescent="0.2">
      <c r="B728" s="67"/>
      <c r="C728" s="66"/>
      <c r="D728" s="66"/>
      <c r="E728" s="66"/>
      <c r="F728" s="213" t="s">
        <v>252</v>
      </c>
      <c r="G728" s="162">
        <v>79401.87</v>
      </c>
      <c r="H728" s="162">
        <v>0</v>
      </c>
      <c r="I728" s="162">
        <v>0</v>
      </c>
      <c r="J728" s="162">
        <v>0</v>
      </c>
      <c r="K728" s="162">
        <v>0</v>
      </c>
      <c r="L728" s="162">
        <v>0</v>
      </c>
      <c r="M728" s="162">
        <v>0</v>
      </c>
      <c r="N728" s="162">
        <v>0</v>
      </c>
    </row>
    <row r="729" spans="2:14" x14ac:dyDescent="0.2">
      <c r="B729" s="67"/>
      <c r="C729" s="66"/>
      <c r="D729" s="66"/>
      <c r="E729" s="66"/>
      <c r="F729" s="213" t="s">
        <v>234</v>
      </c>
      <c r="G729" s="162">
        <v>5450</v>
      </c>
      <c r="H729" s="162">
        <v>0</v>
      </c>
      <c r="I729" s="162">
        <v>0</v>
      </c>
      <c r="J729" s="162">
        <v>0</v>
      </c>
      <c r="K729" s="162">
        <v>0</v>
      </c>
      <c r="L729" s="162">
        <v>0</v>
      </c>
      <c r="M729" s="162">
        <v>0</v>
      </c>
      <c r="N729" s="162">
        <v>0</v>
      </c>
    </row>
    <row r="730" spans="2:14" x14ac:dyDescent="0.2">
      <c r="B730" s="67"/>
      <c r="C730" s="66"/>
      <c r="D730" s="66"/>
      <c r="E730" s="66"/>
      <c r="F730" s="213" t="s">
        <v>253</v>
      </c>
      <c r="G730" s="162">
        <v>17583.68</v>
      </c>
      <c r="H730" s="162">
        <v>0</v>
      </c>
      <c r="I730" s="162">
        <v>0</v>
      </c>
      <c r="J730" s="162">
        <v>0</v>
      </c>
      <c r="K730" s="162">
        <v>0</v>
      </c>
      <c r="L730" s="162">
        <v>0</v>
      </c>
      <c r="M730" s="162">
        <v>0</v>
      </c>
      <c r="N730" s="162">
        <v>0</v>
      </c>
    </row>
    <row r="731" spans="2:14" x14ac:dyDescent="0.2">
      <c r="B731" s="67"/>
      <c r="C731" s="66"/>
      <c r="D731" s="66"/>
      <c r="E731" s="66"/>
      <c r="F731" s="213" t="s">
        <v>235</v>
      </c>
      <c r="G731" s="162">
        <v>15900</v>
      </c>
      <c r="H731" s="162">
        <v>0</v>
      </c>
      <c r="I731" s="162">
        <v>0</v>
      </c>
      <c r="J731" s="162">
        <v>0</v>
      </c>
      <c r="K731" s="162">
        <v>0</v>
      </c>
      <c r="L731" s="162">
        <v>0</v>
      </c>
      <c r="M731" s="162">
        <v>0</v>
      </c>
      <c r="N731" s="162">
        <v>0</v>
      </c>
    </row>
    <row r="732" spans="2:14" x14ac:dyDescent="0.2">
      <c r="B732" s="67"/>
      <c r="C732" s="66"/>
      <c r="D732" s="66"/>
      <c r="E732" s="66"/>
      <c r="F732" s="213" t="s">
        <v>254</v>
      </c>
      <c r="G732" s="162">
        <v>39220.5</v>
      </c>
      <c r="H732" s="162">
        <v>0</v>
      </c>
      <c r="I732" s="162">
        <v>0</v>
      </c>
      <c r="J732" s="162">
        <v>0</v>
      </c>
      <c r="K732" s="162">
        <v>0</v>
      </c>
      <c r="L732" s="162">
        <v>0</v>
      </c>
      <c r="M732" s="162">
        <v>0</v>
      </c>
      <c r="N732" s="162">
        <v>0</v>
      </c>
    </row>
    <row r="733" spans="2:14" x14ac:dyDescent="0.2">
      <c r="B733" s="67"/>
      <c r="C733" s="66"/>
      <c r="D733" s="66"/>
      <c r="E733" s="235" t="s">
        <v>167</v>
      </c>
      <c r="F733" s="235"/>
      <c r="G733" s="65">
        <f t="shared" ref="G733:L733" si="180">SUM(G734:G734)</f>
        <v>187301.7</v>
      </c>
      <c r="H733" s="65">
        <f t="shared" si="180"/>
        <v>0</v>
      </c>
      <c r="I733" s="65">
        <f t="shared" si="180"/>
        <v>0</v>
      </c>
      <c r="J733" s="65">
        <f t="shared" si="180"/>
        <v>0</v>
      </c>
      <c r="K733" s="65">
        <f t="shared" si="180"/>
        <v>0</v>
      </c>
      <c r="L733" s="65">
        <f t="shared" si="180"/>
        <v>0</v>
      </c>
      <c r="M733" s="65">
        <f t="shared" ref="M733" si="181">SUM(M734:M734)</f>
        <v>0</v>
      </c>
      <c r="N733" s="65">
        <f t="shared" ref="N733" si="182">SUM(N734:N734)</f>
        <v>0</v>
      </c>
    </row>
    <row r="734" spans="2:14" x14ac:dyDescent="0.2">
      <c r="B734" s="67"/>
      <c r="C734" s="66"/>
      <c r="D734" s="66"/>
      <c r="E734" s="66"/>
      <c r="F734" s="213" t="s">
        <v>168</v>
      </c>
      <c r="G734" s="162">
        <v>187301.7</v>
      </c>
      <c r="H734" s="162">
        <v>0</v>
      </c>
      <c r="I734" s="162">
        <v>0</v>
      </c>
      <c r="J734" s="162">
        <v>0</v>
      </c>
      <c r="K734" s="162">
        <v>0</v>
      </c>
      <c r="L734" s="162">
        <v>0</v>
      </c>
      <c r="M734" s="64">
        <v>0</v>
      </c>
      <c r="N734" s="64">
        <v>0</v>
      </c>
    </row>
    <row r="735" spans="2:14" x14ac:dyDescent="0.2">
      <c r="B735" s="67"/>
      <c r="C735" s="66"/>
      <c r="D735" s="66"/>
      <c r="E735" s="235" t="s">
        <v>256</v>
      </c>
      <c r="F735" s="235"/>
      <c r="G735" s="77">
        <f>SUM(G736:G745)</f>
        <v>3207082.7299999995</v>
      </c>
      <c r="H735" s="77">
        <f>SUM(H736:H745)</f>
        <v>0</v>
      </c>
      <c r="I735" s="77">
        <f t="shared" ref="I735:L735" si="183">SUM(I736:I745)</f>
        <v>0</v>
      </c>
      <c r="J735" s="77">
        <f t="shared" si="183"/>
        <v>0</v>
      </c>
      <c r="K735" s="77">
        <f t="shared" si="183"/>
        <v>0</v>
      </c>
      <c r="L735" s="77">
        <f t="shared" si="183"/>
        <v>0</v>
      </c>
      <c r="M735" s="77">
        <f t="shared" ref="M735" si="184">SUM(M736:M745)</f>
        <v>0</v>
      </c>
      <c r="N735" s="77">
        <f t="shared" ref="N735" si="185">SUM(N736:N745)</f>
        <v>0</v>
      </c>
    </row>
    <row r="736" spans="2:14" x14ac:dyDescent="0.2">
      <c r="B736" s="67"/>
      <c r="C736" s="66"/>
      <c r="D736" s="66"/>
      <c r="E736" s="66"/>
      <c r="F736" s="213" t="s">
        <v>242</v>
      </c>
      <c r="G736" s="162">
        <f>5732.75+15829.73+605</f>
        <v>22167.48</v>
      </c>
      <c r="H736" s="162">
        <v>0</v>
      </c>
      <c r="I736" s="162">
        <v>0</v>
      </c>
      <c r="J736" s="162">
        <v>0</v>
      </c>
      <c r="K736" s="162">
        <v>0</v>
      </c>
      <c r="L736" s="162">
        <v>0</v>
      </c>
      <c r="M736" s="162">
        <v>0</v>
      </c>
      <c r="N736" s="162">
        <v>0</v>
      </c>
    </row>
    <row r="737" spans="2:14" x14ac:dyDescent="0.2">
      <c r="B737" s="67"/>
      <c r="C737" s="66"/>
      <c r="D737" s="66"/>
      <c r="E737" s="66"/>
      <c r="F737" s="213" t="s">
        <v>243</v>
      </c>
      <c r="G737" s="162">
        <f>119170.94+227904.81</f>
        <v>347075.75</v>
      </c>
      <c r="H737" s="162">
        <v>0</v>
      </c>
      <c r="I737" s="162">
        <v>0</v>
      </c>
      <c r="J737" s="162">
        <v>0</v>
      </c>
      <c r="K737" s="162">
        <v>0</v>
      </c>
      <c r="L737" s="162">
        <v>0</v>
      </c>
      <c r="M737" s="162">
        <v>0</v>
      </c>
      <c r="N737" s="162">
        <v>0</v>
      </c>
    </row>
    <row r="738" spans="2:14" x14ac:dyDescent="0.2">
      <c r="B738" s="67"/>
      <c r="C738" s="66"/>
      <c r="D738" s="66"/>
      <c r="E738" s="66"/>
      <c r="F738" s="213" t="s">
        <v>170</v>
      </c>
      <c r="G738" s="162">
        <f>80480.58+15796.98</f>
        <v>96277.56</v>
      </c>
      <c r="H738" s="162">
        <v>0</v>
      </c>
      <c r="I738" s="162">
        <v>0</v>
      </c>
      <c r="J738" s="162">
        <v>0</v>
      </c>
      <c r="K738" s="162">
        <v>0</v>
      </c>
      <c r="L738" s="162">
        <v>0</v>
      </c>
      <c r="M738" s="162">
        <v>0</v>
      </c>
      <c r="N738" s="162">
        <v>0</v>
      </c>
    </row>
    <row r="739" spans="2:14" x14ac:dyDescent="0.2">
      <c r="B739" s="67"/>
      <c r="C739" s="66"/>
      <c r="D739" s="66"/>
      <c r="E739" s="66"/>
      <c r="F739" s="213" t="s">
        <v>171</v>
      </c>
      <c r="G739" s="162">
        <f>11882.77+7554.07+61189.84+5596.2+635213.94+211835.33+359450.43+571.08+150551.92</f>
        <v>1443845.5799999998</v>
      </c>
      <c r="H739" s="162">
        <v>0</v>
      </c>
      <c r="I739" s="162">
        <v>0</v>
      </c>
      <c r="J739" s="162">
        <v>0</v>
      </c>
      <c r="K739" s="162">
        <v>0</v>
      </c>
      <c r="L739" s="162">
        <v>0</v>
      </c>
      <c r="M739" s="162">
        <v>0</v>
      </c>
      <c r="N739" s="162">
        <v>0</v>
      </c>
    </row>
    <row r="740" spans="2:14" x14ac:dyDescent="0.2">
      <c r="B740" s="67"/>
      <c r="C740" s="66"/>
      <c r="D740" s="66"/>
      <c r="E740" s="66"/>
      <c r="F740" s="213" t="s">
        <v>201</v>
      </c>
      <c r="G740" s="162">
        <f>226181.21+41852.81</f>
        <v>268034.02</v>
      </c>
      <c r="H740" s="162">
        <v>0</v>
      </c>
      <c r="I740" s="162">
        <v>0</v>
      </c>
      <c r="J740" s="162">
        <v>0</v>
      </c>
      <c r="K740" s="162">
        <v>0</v>
      </c>
      <c r="L740" s="162">
        <v>0</v>
      </c>
      <c r="M740" s="162">
        <v>0</v>
      </c>
      <c r="N740" s="162">
        <v>0</v>
      </c>
    </row>
    <row r="741" spans="2:14" x14ac:dyDescent="0.2">
      <c r="B741" s="67"/>
      <c r="C741" s="66"/>
      <c r="D741" s="66"/>
      <c r="E741" s="66"/>
      <c r="F741" s="213" t="s">
        <v>226</v>
      </c>
      <c r="G741" s="162">
        <v>107094.83</v>
      </c>
      <c r="H741" s="162">
        <v>0</v>
      </c>
      <c r="I741" s="162">
        <v>0</v>
      </c>
      <c r="J741" s="162">
        <v>0</v>
      </c>
      <c r="K741" s="162">
        <v>0</v>
      </c>
      <c r="L741" s="162">
        <v>0</v>
      </c>
      <c r="M741" s="162">
        <v>0</v>
      </c>
      <c r="N741" s="162">
        <v>0</v>
      </c>
    </row>
    <row r="742" spans="2:14" x14ac:dyDescent="0.2">
      <c r="B742" s="67"/>
      <c r="C742" s="66"/>
      <c r="D742" s="66"/>
      <c r="E742" s="66"/>
      <c r="F742" s="213" t="s">
        <v>188</v>
      </c>
      <c r="G742" s="162">
        <f>13963.71+52795.78+82430.92+104064.69+93861.06</f>
        <v>347116.16</v>
      </c>
      <c r="H742" s="162">
        <v>0</v>
      </c>
      <c r="I742" s="162">
        <v>0</v>
      </c>
      <c r="J742" s="162">
        <v>0</v>
      </c>
      <c r="K742" s="162">
        <v>0</v>
      </c>
      <c r="L742" s="162">
        <v>0</v>
      </c>
      <c r="M742" s="162">
        <v>0</v>
      </c>
      <c r="N742" s="162">
        <v>0</v>
      </c>
    </row>
    <row r="743" spans="2:14" x14ac:dyDescent="0.2">
      <c r="B743" s="67"/>
      <c r="C743" s="66"/>
      <c r="D743" s="66"/>
      <c r="E743" s="66"/>
      <c r="F743" s="213" t="s">
        <v>172</v>
      </c>
      <c r="G743" s="162">
        <v>460732.01</v>
      </c>
      <c r="H743" s="162">
        <v>0</v>
      </c>
      <c r="I743" s="162">
        <v>0</v>
      </c>
      <c r="J743" s="162">
        <v>0</v>
      </c>
      <c r="K743" s="162">
        <v>0</v>
      </c>
      <c r="L743" s="162">
        <v>0</v>
      </c>
      <c r="M743" s="162">
        <v>0</v>
      </c>
      <c r="N743" s="162">
        <v>0</v>
      </c>
    </row>
    <row r="744" spans="2:14" x14ac:dyDescent="0.2">
      <c r="B744" s="67"/>
      <c r="C744" s="66"/>
      <c r="D744" s="66"/>
      <c r="E744" s="66"/>
      <c r="F744" s="213" t="s">
        <v>173</v>
      </c>
      <c r="G744" s="162">
        <f>64955.63+33946.04+6600.5</f>
        <v>105502.17</v>
      </c>
      <c r="H744" s="162">
        <v>0</v>
      </c>
      <c r="I744" s="162">
        <v>0</v>
      </c>
      <c r="J744" s="162">
        <v>0</v>
      </c>
      <c r="K744" s="162">
        <v>0</v>
      </c>
      <c r="L744" s="162">
        <v>0</v>
      </c>
      <c r="M744" s="162">
        <v>0</v>
      </c>
      <c r="N744" s="162">
        <v>0</v>
      </c>
    </row>
    <row r="745" spans="2:14" x14ac:dyDescent="0.2">
      <c r="B745" s="67"/>
      <c r="C745" s="66"/>
      <c r="D745" s="66"/>
      <c r="E745" s="66"/>
      <c r="F745" s="213" t="s">
        <v>182</v>
      </c>
      <c r="G745" s="162">
        <v>9237.17</v>
      </c>
      <c r="H745" s="162">
        <v>0</v>
      </c>
      <c r="I745" s="162">
        <v>0</v>
      </c>
      <c r="J745" s="162">
        <v>0</v>
      </c>
      <c r="K745" s="162">
        <v>0</v>
      </c>
      <c r="L745" s="162">
        <v>0</v>
      </c>
      <c r="M745" s="162">
        <v>0</v>
      </c>
      <c r="N745" s="162">
        <v>0</v>
      </c>
    </row>
    <row r="746" spans="2:14" x14ac:dyDescent="0.2">
      <c r="B746" s="67"/>
      <c r="C746" s="66"/>
      <c r="D746" s="232" t="s">
        <v>260</v>
      </c>
      <c r="E746" s="239"/>
      <c r="F746" s="239"/>
      <c r="G746" s="74">
        <f>G747+G757</f>
        <v>1856847.1400000001</v>
      </c>
      <c r="H746" s="74">
        <f t="shared" ref="H746:L746" si="186">H747+H757</f>
        <v>0</v>
      </c>
      <c r="I746" s="74">
        <f t="shared" si="186"/>
        <v>0</v>
      </c>
      <c r="J746" s="74">
        <f t="shared" si="186"/>
        <v>0</v>
      </c>
      <c r="K746" s="74">
        <f t="shared" si="186"/>
        <v>0</v>
      </c>
      <c r="L746" s="74">
        <f t="shared" si="186"/>
        <v>0</v>
      </c>
      <c r="M746" s="74">
        <f t="shared" ref="M746" si="187">M747+M757</f>
        <v>0</v>
      </c>
      <c r="N746" s="74">
        <f t="shared" ref="N746" si="188">N747+N757</f>
        <v>0</v>
      </c>
    </row>
    <row r="747" spans="2:14" x14ac:dyDescent="0.2">
      <c r="B747" s="67"/>
      <c r="C747" s="66"/>
      <c r="D747" s="66"/>
      <c r="E747" s="232" t="s">
        <v>164</v>
      </c>
      <c r="F747" s="232"/>
      <c r="G747" s="73">
        <f>SUM(G748:G756)</f>
        <v>1856547.6800000002</v>
      </c>
      <c r="H747" s="73">
        <f t="shared" ref="H747:L747" si="189">SUM(H748:H756)</f>
        <v>0</v>
      </c>
      <c r="I747" s="73">
        <f t="shared" si="189"/>
        <v>0</v>
      </c>
      <c r="J747" s="73">
        <f t="shared" si="189"/>
        <v>0</v>
      </c>
      <c r="K747" s="73">
        <f t="shared" si="189"/>
        <v>0</v>
      </c>
      <c r="L747" s="73">
        <f t="shared" si="189"/>
        <v>0</v>
      </c>
      <c r="M747" s="73">
        <f t="shared" ref="M747:N747" si="190">SUM(M748:M756)</f>
        <v>0</v>
      </c>
      <c r="N747" s="73">
        <f t="shared" si="190"/>
        <v>0</v>
      </c>
    </row>
    <row r="748" spans="2:14" x14ac:dyDescent="0.2">
      <c r="B748" s="67"/>
      <c r="C748" s="66"/>
      <c r="D748" s="66"/>
      <c r="E748" s="66"/>
      <c r="F748" s="213" t="s">
        <v>165</v>
      </c>
      <c r="G748" s="162">
        <v>1140300.08</v>
      </c>
      <c r="H748" s="162">
        <v>0</v>
      </c>
      <c r="I748" s="162">
        <v>0</v>
      </c>
      <c r="J748" s="162">
        <v>0</v>
      </c>
      <c r="K748" s="162">
        <v>0</v>
      </c>
      <c r="L748" s="162">
        <v>0</v>
      </c>
      <c r="M748" s="162">
        <v>0</v>
      </c>
      <c r="N748" s="162">
        <v>0</v>
      </c>
    </row>
    <row r="749" spans="2:14" x14ac:dyDescent="0.2">
      <c r="B749" s="67"/>
      <c r="C749" s="66"/>
      <c r="D749" s="66"/>
      <c r="E749" s="66"/>
      <c r="F749" s="213" t="s">
        <v>233</v>
      </c>
      <c r="G749" s="162">
        <v>463228.81</v>
      </c>
      <c r="H749" s="162">
        <v>0</v>
      </c>
      <c r="I749" s="162">
        <v>0</v>
      </c>
      <c r="J749" s="162">
        <v>0</v>
      </c>
      <c r="K749" s="162">
        <v>0</v>
      </c>
      <c r="L749" s="162">
        <v>0</v>
      </c>
      <c r="M749" s="162">
        <v>0</v>
      </c>
      <c r="N749" s="162">
        <v>0</v>
      </c>
    </row>
    <row r="750" spans="2:14" x14ac:dyDescent="0.2">
      <c r="B750" s="67"/>
      <c r="C750" s="66"/>
      <c r="D750" s="66"/>
      <c r="E750" s="66"/>
      <c r="F750" s="213" t="s">
        <v>166</v>
      </c>
      <c r="G750" s="162">
        <v>12341.46</v>
      </c>
      <c r="H750" s="162">
        <v>0</v>
      </c>
      <c r="I750" s="162">
        <v>0</v>
      </c>
      <c r="J750" s="162">
        <v>0</v>
      </c>
      <c r="K750" s="162">
        <v>0</v>
      </c>
      <c r="L750" s="162">
        <v>0</v>
      </c>
      <c r="M750" s="162">
        <v>0</v>
      </c>
      <c r="N750" s="162">
        <v>0</v>
      </c>
    </row>
    <row r="751" spans="2:14" x14ac:dyDescent="0.2">
      <c r="B751" s="67"/>
      <c r="C751" s="66"/>
      <c r="D751" s="66"/>
      <c r="E751" s="66"/>
      <c r="F751" s="213" t="s">
        <v>190</v>
      </c>
      <c r="G751" s="162">
        <v>191790.03</v>
      </c>
      <c r="H751" s="162">
        <v>0</v>
      </c>
      <c r="I751" s="162">
        <v>0</v>
      </c>
      <c r="J751" s="162">
        <v>0</v>
      </c>
      <c r="K751" s="162">
        <v>0</v>
      </c>
      <c r="L751" s="162">
        <v>0</v>
      </c>
      <c r="M751" s="162">
        <v>0</v>
      </c>
      <c r="N751" s="162">
        <v>0</v>
      </c>
    </row>
    <row r="752" spans="2:14" x14ac:dyDescent="0.2">
      <c r="B752" s="67"/>
      <c r="C752" s="66"/>
      <c r="D752" s="66"/>
      <c r="E752" s="66"/>
      <c r="F752" s="213" t="s">
        <v>252</v>
      </c>
      <c r="G752" s="162">
        <v>25309.06</v>
      </c>
      <c r="H752" s="162">
        <v>0</v>
      </c>
      <c r="I752" s="162">
        <v>0</v>
      </c>
      <c r="J752" s="162">
        <v>0</v>
      </c>
      <c r="K752" s="162">
        <v>0</v>
      </c>
      <c r="L752" s="162">
        <v>0</v>
      </c>
      <c r="M752" s="162">
        <v>0</v>
      </c>
      <c r="N752" s="162">
        <v>0</v>
      </c>
    </row>
    <row r="753" spans="2:14" x14ac:dyDescent="0.2">
      <c r="B753" s="67"/>
      <c r="C753" s="66"/>
      <c r="D753" s="66"/>
      <c r="E753" s="66"/>
      <c r="F753" s="213" t="s">
        <v>234</v>
      </c>
      <c r="G753" s="162">
        <v>5147.3999999999996</v>
      </c>
      <c r="H753" s="162">
        <v>0</v>
      </c>
      <c r="I753" s="162">
        <v>0</v>
      </c>
      <c r="J753" s="162">
        <v>0</v>
      </c>
      <c r="K753" s="162">
        <v>0</v>
      </c>
      <c r="L753" s="162">
        <v>0</v>
      </c>
      <c r="M753" s="162">
        <v>0</v>
      </c>
      <c r="N753" s="162">
        <v>0</v>
      </c>
    </row>
    <row r="754" spans="2:14" x14ac:dyDescent="0.2">
      <c r="B754" s="67"/>
      <c r="C754" s="66"/>
      <c r="D754" s="66"/>
      <c r="E754" s="66"/>
      <c r="F754" s="213" t="s">
        <v>238</v>
      </c>
      <c r="G754" s="162">
        <v>1500</v>
      </c>
      <c r="H754" s="162">
        <v>0</v>
      </c>
      <c r="I754" s="162">
        <v>0</v>
      </c>
      <c r="J754" s="162">
        <v>0</v>
      </c>
      <c r="K754" s="162">
        <v>0</v>
      </c>
      <c r="L754" s="162">
        <v>0</v>
      </c>
      <c r="M754" s="162">
        <v>0</v>
      </c>
      <c r="N754" s="162">
        <v>0</v>
      </c>
    </row>
    <row r="755" spans="2:14" x14ac:dyDescent="0.2">
      <c r="B755" s="67"/>
      <c r="C755" s="66"/>
      <c r="D755" s="66"/>
      <c r="E755" s="66"/>
      <c r="F755" s="213" t="s">
        <v>178</v>
      </c>
      <c r="G755" s="162">
        <v>6930.84</v>
      </c>
      <c r="H755" s="162">
        <v>0</v>
      </c>
      <c r="I755" s="162">
        <v>0</v>
      </c>
      <c r="J755" s="162">
        <v>0</v>
      </c>
      <c r="K755" s="162">
        <v>0</v>
      </c>
      <c r="L755" s="162">
        <v>0</v>
      </c>
      <c r="M755" s="162">
        <v>0</v>
      </c>
      <c r="N755" s="162">
        <v>0</v>
      </c>
    </row>
    <row r="756" spans="2:14" x14ac:dyDescent="0.2">
      <c r="B756" s="67"/>
      <c r="C756" s="66"/>
      <c r="D756" s="66"/>
      <c r="E756" s="66"/>
      <c r="F756" s="213" t="s">
        <v>225</v>
      </c>
      <c r="G756" s="162">
        <v>10000</v>
      </c>
      <c r="H756" s="162">
        <v>0</v>
      </c>
      <c r="I756" s="162">
        <v>0</v>
      </c>
      <c r="J756" s="162">
        <v>0</v>
      </c>
      <c r="K756" s="162">
        <v>0</v>
      </c>
      <c r="L756" s="162">
        <v>0</v>
      </c>
      <c r="M756" s="162">
        <v>0</v>
      </c>
      <c r="N756" s="162">
        <v>0</v>
      </c>
    </row>
    <row r="757" spans="2:14" x14ac:dyDescent="0.2">
      <c r="B757" s="67"/>
      <c r="C757" s="66"/>
      <c r="D757" s="66"/>
      <c r="E757" s="235" t="s">
        <v>256</v>
      </c>
      <c r="F757" s="235"/>
      <c r="G757" s="77">
        <f t="shared" ref="G757:L757" si="191">SUM(G758:G758)</f>
        <v>299.45999999999998</v>
      </c>
      <c r="H757" s="77">
        <f t="shared" si="191"/>
        <v>0</v>
      </c>
      <c r="I757" s="77">
        <f t="shared" si="191"/>
        <v>0</v>
      </c>
      <c r="J757" s="77">
        <f t="shared" si="191"/>
        <v>0</v>
      </c>
      <c r="K757" s="77">
        <f t="shared" si="191"/>
        <v>0</v>
      </c>
      <c r="L757" s="77">
        <f t="shared" si="191"/>
        <v>0</v>
      </c>
      <c r="M757" s="77">
        <f t="shared" ref="M757:N757" si="192">SUM(M758:M758)</f>
        <v>0</v>
      </c>
      <c r="N757" s="77">
        <f t="shared" si="192"/>
        <v>0</v>
      </c>
    </row>
    <row r="758" spans="2:14" x14ac:dyDescent="0.2">
      <c r="B758" s="67"/>
      <c r="C758" s="66"/>
      <c r="D758" s="66"/>
      <c r="E758" s="66"/>
      <c r="F758" s="213" t="s">
        <v>226</v>
      </c>
      <c r="G758" s="162">
        <v>299.45999999999998</v>
      </c>
      <c r="H758" s="162">
        <v>0</v>
      </c>
      <c r="I758" s="162">
        <v>0</v>
      </c>
      <c r="J758" s="162">
        <v>0</v>
      </c>
      <c r="K758" s="162">
        <v>0</v>
      </c>
      <c r="L758" s="162">
        <v>0</v>
      </c>
      <c r="M758" s="64">
        <v>0</v>
      </c>
      <c r="N758" s="64">
        <v>0</v>
      </c>
    </row>
    <row r="759" spans="2:14" x14ac:dyDescent="0.2">
      <c r="B759" s="67"/>
      <c r="C759" s="236" t="s">
        <v>84</v>
      </c>
      <c r="D759" s="236"/>
      <c r="E759" s="236"/>
      <c r="F759" s="236"/>
      <c r="G759" s="71">
        <f>G760+G789+G803</f>
        <v>34688995</v>
      </c>
      <c r="H759" s="71">
        <f t="shared" ref="H759:N759" si="193">H760+H789+H803</f>
        <v>34920943</v>
      </c>
      <c r="I759" s="71">
        <f t="shared" si="193"/>
        <v>39716724</v>
      </c>
      <c r="J759" s="71">
        <f t="shared" si="193"/>
        <v>43159693</v>
      </c>
      <c r="K759" s="71">
        <f>K760+K789+K803</f>
        <v>43174953.210000008</v>
      </c>
      <c r="L759" s="71">
        <f t="shared" si="193"/>
        <v>46320286</v>
      </c>
      <c r="M759" s="71">
        <f t="shared" si="193"/>
        <v>45376845</v>
      </c>
      <c r="N759" s="71">
        <f t="shared" si="193"/>
        <v>48965893</v>
      </c>
    </row>
    <row r="760" spans="2:14" x14ac:dyDescent="0.2">
      <c r="B760" s="67"/>
      <c r="C760" s="66"/>
      <c r="D760" s="233" t="s">
        <v>261</v>
      </c>
      <c r="E760" s="234"/>
      <c r="F760" s="234"/>
      <c r="G760" s="74">
        <f t="shared" ref="G760:N760" si="194">G761+G774+G777</f>
        <v>33850235</v>
      </c>
      <c r="H760" s="74">
        <f t="shared" si="194"/>
        <v>33492700</v>
      </c>
      <c r="I760" s="74">
        <f t="shared" si="194"/>
        <v>38738814</v>
      </c>
      <c r="J760" s="74">
        <f t="shared" si="194"/>
        <v>41986636</v>
      </c>
      <c r="K760" s="74">
        <f t="shared" si="194"/>
        <v>42114563.010000005</v>
      </c>
      <c r="L760" s="74">
        <f t="shared" si="194"/>
        <v>44740014</v>
      </c>
      <c r="M760" s="74">
        <f t="shared" si="194"/>
        <v>44101059</v>
      </c>
      <c r="N760" s="74">
        <f t="shared" si="194"/>
        <v>47628834</v>
      </c>
    </row>
    <row r="761" spans="2:14" x14ac:dyDescent="0.2">
      <c r="B761" s="67"/>
      <c r="C761" s="66"/>
      <c r="D761" s="66"/>
      <c r="E761" s="233" t="s">
        <v>164</v>
      </c>
      <c r="F761" s="233"/>
      <c r="G761" s="75">
        <f t="shared" ref="G761:N761" si="195">SUM(G762:G773)</f>
        <v>31151017</v>
      </c>
      <c r="H761" s="75">
        <f t="shared" si="195"/>
        <v>31249855</v>
      </c>
      <c r="I761" s="75">
        <f t="shared" si="195"/>
        <v>35167702</v>
      </c>
      <c r="J761" s="75">
        <f t="shared" si="195"/>
        <v>37677098</v>
      </c>
      <c r="K761" s="75">
        <f t="shared" si="195"/>
        <v>37100681.260000005</v>
      </c>
      <c r="L761" s="75">
        <f t="shared" si="195"/>
        <v>39309380</v>
      </c>
      <c r="M761" s="75">
        <f t="shared" si="195"/>
        <v>39522109</v>
      </c>
      <c r="N761" s="75">
        <f t="shared" si="195"/>
        <v>42008300</v>
      </c>
    </row>
    <row r="762" spans="2:14" x14ac:dyDescent="0.2">
      <c r="B762" s="67"/>
      <c r="C762" s="66"/>
      <c r="D762" s="66"/>
      <c r="E762" s="66"/>
      <c r="F762" s="213" t="s">
        <v>165</v>
      </c>
      <c r="G762" s="162">
        <v>23732524</v>
      </c>
      <c r="H762" s="162">
        <v>23693379</v>
      </c>
      <c r="I762" s="64">
        <v>26262553</v>
      </c>
      <c r="J762" s="64">
        <v>29873396</v>
      </c>
      <c r="K762" s="64">
        <v>29517346.359999999</v>
      </c>
      <c r="L762" s="64">
        <v>31036846</v>
      </c>
      <c r="M762" s="64">
        <v>31421601</v>
      </c>
      <c r="N762" s="64">
        <v>33741592</v>
      </c>
    </row>
    <row r="763" spans="2:14" x14ac:dyDescent="0.2">
      <c r="B763" s="67"/>
      <c r="C763" s="66"/>
      <c r="D763" s="66"/>
      <c r="E763" s="66"/>
      <c r="F763" s="213" t="s">
        <v>190</v>
      </c>
      <c r="G763" s="162">
        <v>4520919</v>
      </c>
      <c r="H763" s="162">
        <v>4725452</v>
      </c>
      <c r="I763" s="64">
        <v>6120869</v>
      </c>
      <c r="J763" s="64">
        <v>4942454</v>
      </c>
      <c r="K763" s="64">
        <v>5422326.25</v>
      </c>
      <c r="L763" s="64">
        <v>4979477</v>
      </c>
      <c r="M763" s="64">
        <v>5770000</v>
      </c>
      <c r="N763" s="64">
        <v>5262135</v>
      </c>
    </row>
    <row r="764" spans="2:14" x14ac:dyDescent="0.2">
      <c r="B764" s="67"/>
      <c r="C764" s="66"/>
      <c r="D764" s="66"/>
      <c r="E764" s="66"/>
      <c r="F764" s="213" t="s">
        <v>252</v>
      </c>
      <c r="G764" s="162">
        <v>1913090</v>
      </c>
      <c r="H764" s="162">
        <v>1886623</v>
      </c>
      <c r="I764" s="64">
        <v>2078883</v>
      </c>
      <c r="J764" s="64">
        <v>2254945</v>
      </c>
      <c r="K764" s="64">
        <v>2361284.4499999997</v>
      </c>
      <c r="L764" s="64">
        <v>2648665</v>
      </c>
      <c r="M764" s="64">
        <v>2573053</v>
      </c>
      <c r="N764" s="64">
        <v>2773544</v>
      </c>
    </row>
    <row r="765" spans="2:14" x14ac:dyDescent="0.2">
      <c r="B765" s="67"/>
      <c r="C765" s="66"/>
      <c r="D765" s="66"/>
      <c r="E765" s="66"/>
      <c r="F765" s="213" t="s">
        <v>234</v>
      </c>
      <c r="G765" s="162">
        <v>301811</v>
      </c>
      <c r="H765" s="162">
        <v>300455</v>
      </c>
      <c r="I765" s="64">
        <v>343795</v>
      </c>
      <c r="J765" s="64">
        <v>329711</v>
      </c>
      <c r="K765" s="64">
        <v>334318.31</v>
      </c>
      <c r="L765" s="64">
        <v>378200</v>
      </c>
      <c r="M765" s="64">
        <v>320745</v>
      </c>
      <c r="N765" s="64">
        <v>367750</v>
      </c>
    </row>
    <row r="766" spans="2:14" x14ac:dyDescent="0.2">
      <c r="B766" s="67"/>
      <c r="C766" s="66"/>
      <c r="D766" s="66"/>
      <c r="E766" s="66"/>
      <c r="F766" s="213" t="s">
        <v>178</v>
      </c>
      <c r="G766" s="162">
        <v>1436</v>
      </c>
      <c r="H766" s="162">
        <v>0</v>
      </c>
      <c r="I766" s="64">
        <v>1474</v>
      </c>
      <c r="J766" s="64">
        <v>363</v>
      </c>
      <c r="K766" s="64">
        <v>1713.79</v>
      </c>
      <c r="L766" s="64">
        <v>46000</v>
      </c>
      <c r="M766" s="64">
        <v>24000</v>
      </c>
      <c r="N766" s="64">
        <v>46000</v>
      </c>
    </row>
    <row r="767" spans="2:14" x14ac:dyDescent="0.2">
      <c r="B767" s="67"/>
      <c r="C767" s="66"/>
      <c r="D767" s="66"/>
      <c r="E767" s="66"/>
      <c r="F767" s="213" t="s">
        <v>253</v>
      </c>
      <c r="G767" s="162">
        <v>261987</v>
      </c>
      <c r="H767" s="162">
        <v>184123</v>
      </c>
      <c r="I767" s="64">
        <v>308944</v>
      </c>
      <c r="J767" s="64">
        <v>220301</v>
      </c>
      <c r="K767" s="64">
        <v>204816.40999999997</v>
      </c>
      <c r="L767" s="64">
        <v>492085</v>
      </c>
      <c r="M767" s="64">
        <v>189986</v>
      </c>
      <c r="N767" s="64">
        <v>512056</v>
      </c>
    </row>
    <row r="768" spans="2:14" x14ac:dyDescent="0.2">
      <c r="B768" s="67"/>
      <c r="C768" s="66"/>
      <c r="D768" s="66"/>
      <c r="E768" s="66"/>
      <c r="F768" s="213" t="s">
        <v>235</v>
      </c>
      <c r="G768" s="162">
        <v>247344</v>
      </c>
      <c r="H768" s="162">
        <v>224971</v>
      </c>
      <c r="I768" s="64">
        <v>248440</v>
      </c>
      <c r="J768" s="64">
        <v>193316</v>
      </c>
      <c r="K768" s="64">
        <v>166270.71</v>
      </c>
      <c r="L768" s="64">
        <v>325157</v>
      </c>
      <c r="M768" s="64">
        <v>299839</v>
      </c>
      <c r="N768" s="64">
        <v>338261</v>
      </c>
    </row>
    <row r="769" spans="2:14" x14ac:dyDescent="0.2">
      <c r="B769" s="67"/>
      <c r="C769" s="66"/>
      <c r="D769" s="66"/>
      <c r="E769" s="66"/>
      <c r="F769" s="213" t="s">
        <v>254</v>
      </c>
      <c r="G769" s="162">
        <v>125675</v>
      </c>
      <c r="H769" s="162">
        <v>103979</v>
      </c>
      <c r="I769" s="64">
        <v>159010</v>
      </c>
      <c r="J769" s="64">
        <v>129664</v>
      </c>
      <c r="K769" s="64">
        <v>174312.24</v>
      </c>
      <c r="L769" s="64">
        <v>238876</v>
      </c>
      <c r="M769" s="64">
        <v>232920</v>
      </c>
      <c r="N769" s="64">
        <v>325740</v>
      </c>
    </row>
    <row r="770" spans="2:14" x14ac:dyDescent="0.2">
      <c r="B770" s="67"/>
      <c r="C770" s="66"/>
      <c r="D770" s="66"/>
      <c r="E770" s="66"/>
      <c r="F770" s="213" t="s">
        <v>255</v>
      </c>
      <c r="G770" s="162">
        <v>0</v>
      </c>
      <c r="H770" s="162">
        <v>0</v>
      </c>
      <c r="I770" s="64">
        <v>24714</v>
      </c>
      <c r="J770" s="64">
        <v>36599</v>
      </c>
      <c r="K770" s="64">
        <v>45290.390000000007</v>
      </c>
      <c r="L770" s="64">
        <v>0</v>
      </c>
      <c r="M770" s="64">
        <v>0</v>
      </c>
      <c r="N770" s="64">
        <v>0</v>
      </c>
    </row>
    <row r="771" spans="2:14" x14ac:dyDescent="0.2">
      <c r="B771" s="67"/>
      <c r="C771" s="66"/>
      <c r="D771" s="66"/>
      <c r="E771" s="66"/>
      <c r="F771" s="213" t="s">
        <v>262</v>
      </c>
      <c r="G771" s="162">
        <v>172044</v>
      </c>
      <c r="H771" s="162">
        <v>173567</v>
      </c>
      <c r="I771" s="64">
        <v>179988</v>
      </c>
      <c r="J771" s="64">
        <v>191899</v>
      </c>
      <c r="K771" s="64">
        <v>145863.34</v>
      </c>
      <c r="L771" s="64">
        <v>189405</v>
      </c>
      <c r="M771" s="64">
        <v>153904</v>
      </c>
      <c r="N771" s="64">
        <v>207500</v>
      </c>
    </row>
    <row r="772" spans="2:14" x14ac:dyDescent="0.2">
      <c r="B772" s="67"/>
      <c r="C772" s="66"/>
      <c r="D772" s="66"/>
      <c r="E772" s="66"/>
      <c r="F772" s="213" t="s">
        <v>179</v>
      </c>
      <c r="G772" s="162">
        <v>0</v>
      </c>
      <c r="H772" s="162">
        <v>0</v>
      </c>
      <c r="I772" s="64">
        <v>-267530</v>
      </c>
      <c r="J772" s="64">
        <v>-30679</v>
      </c>
      <c r="K772" s="64">
        <v>-51995</v>
      </c>
      <c r="L772" s="64">
        <v>0</v>
      </c>
      <c r="M772" s="64">
        <v>0</v>
      </c>
      <c r="N772" s="64">
        <v>0</v>
      </c>
    </row>
    <row r="773" spans="2:14" x14ac:dyDescent="0.2">
      <c r="B773" s="67"/>
      <c r="C773" s="66"/>
      <c r="D773" s="66"/>
      <c r="E773" s="66"/>
      <c r="F773" s="213" t="s">
        <v>180</v>
      </c>
      <c r="G773" s="162">
        <v>-125813</v>
      </c>
      <c r="H773" s="162">
        <v>-42694</v>
      </c>
      <c r="I773" s="64">
        <v>-293438</v>
      </c>
      <c r="J773" s="64">
        <v>-464871</v>
      </c>
      <c r="K773" s="64">
        <v>-1220865.99</v>
      </c>
      <c r="L773" s="64">
        <v>-1025331</v>
      </c>
      <c r="M773" s="64">
        <v>-1463939</v>
      </c>
      <c r="N773" s="64">
        <v>-1566278</v>
      </c>
    </row>
    <row r="774" spans="2:14" x14ac:dyDescent="0.2">
      <c r="B774" s="67"/>
      <c r="C774" s="66"/>
      <c r="D774" s="66"/>
      <c r="E774" s="235" t="s">
        <v>194</v>
      </c>
      <c r="F774" s="235"/>
      <c r="G774" s="79">
        <f t="shared" ref="G774:N774" si="196">SUM(G775:G776)</f>
        <v>213619</v>
      </c>
      <c r="H774" s="79">
        <f t="shared" si="196"/>
        <v>119175</v>
      </c>
      <c r="I774" s="79">
        <f t="shared" si="196"/>
        <v>335338</v>
      </c>
      <c r="J774" s="79">
        <f t="shared" si="196"/>
        <v>315661</v>
      </c>
      <c r="K774" s="79">
        <f t="shared" si="196"/>
        <v>309187.90000000002</v>
      </c>
      <c r="L774" s="79">
        <f t="shared" si="196"/>
        <v>397500</v>
      </c>
      <c r="M774" s="79">
        <f t="shared" si="196"/>
        <v>339000</v>
      </c>
      <c r="N774" s="79">
        <f t="shared" si="196"/>
        <v>397500</v>
      </c>
    </row>
    <row r="775" spans="2:14" x14ac:dyDescent="0.2">
      <c r="B775" s="67"/>
      <c r="C775" s="66"/>
      <c r="D775" s="66"/>
      <c r="E775" s="66"/>
      <c r="F775" s="213" t="s">
        <v>168</v>
      </c>
      <c r="G775" s="162">
        <v>31651</v>
      </c>
      <c r="H775" s="162">
        <v>25765</v>
      </c>
      <c r="I775" s="64">
        <v>63810</v>
      </c>
      <c r="J775" s="64">
        <v>75166</v>
      </c>
      <c r="K775" s="64">
        <f>28488.84+57734.46</f>
        <v>86223.3</v>
      </c>
      <c r="L775" s="64">
        <v>99000</v>
      </c>
      <c r="M775" s="64">
        <v>76000</v>
      </c>
      <c r="N775" s="64">
        <v>99000</v>
      </c>
    </row>
    <row r="776" spans="2:14" x14ac:dyDescent="0.2">
      <c r="B776" s="67"/>
      <c r="C776" s="66"/>
      <c r="D776" s="66"/>
      <c r="E776" s="66"/>
      <c r="F776" s="213" t="s">
        <v>200</v>
      </c>
      <c r="G776" s="162">
        <v>181968</v>
      </c>
      <c r="H776" s="162">
        <v>93410</v>
      </c>
      <c r="I776" s="64">
        <v>271528</v>
      </c>
      <c r="J776" s="64">
        <v>240495</v>
      </c>
      <c r="K776" s="64">
        <f>112039.46+103590.73+7334.41</f>
        <v>222964.6</v>
      </c>
      <c r="L776" s="64">
        <v>298500</v>
      </c>
      <c r="M776" s="64">
        <v>263000</v>
      </c>
      <c r="N776" s="64">
        <v>298500</v>
      </c>
    </row>
    <row r="777" spans="2:14" x14ac:dyDescent="0.2">
      <c r="B777" s="67"/>
      <c r="C777" s="66"/>
      <c r="D777" s="66"/>
      <c r="E777" s="235" t="s">
        <v>175</v>
      </c>
      <c r="F777" s="235"/>
      <c r="G777" s="79">
        <f t="shared" ref="G777:N777" si="197">SUM(G778:G788)</f>
        <v>2485599</v>
      </c>
      <c r="H777" s="79">
        <f t="shared" si="197"/>
        <v>2123670</v>
      </c>
      <c r="I777" s="79">
        <f t="shared" si="197"/>
        <v>3235774</v>
      </c>
      <c r="J777" s="79">
        <f t="shared" si="197"/>
        <v>3993877</v>
      </c>
      <c r="K777" s="79">
        <f t="shared" si="197"/>
        <v>4704693.8500000015</v>
      </c>
      <c r="L777" s="79">
        <f t="shared" si="197"/>
        <v>5033134</v>
      </c>
      <c r="M777" s="79">
        <f t="shared" si="197"/>
        <v>4239950</v>
      </c>
      <c r="N777" s="79">
        <f t="shared" si="197"/>
        <v>5223034</v>
      </c>
    </row>
    <row r="778" spans="2:14" x14ac:dyDescent="0.2">
      <c r="B778" s="67"/>
      <c r="C778" s="66"/>
      <c r="D778" s="66"/>
      <c r="E778" s="66"/>
      <c r="F778" s="213" t="s">
        <v>242</v>
      </c>
      <c r="G778" s="162">
        <v>133140</v>
      </c>
      <c r="H778" s="162">
        <v>128176</v>
      </c>
      <c r="I778" s="64">
        <v>209927</v>
      </c>
      <c r="J778" s="64">
        <v>222934</v>
      </c>
      <c r="K778" s="64">
        <f>194909.83+27637.63</f>
        <v>222547.46</v>
      </c>
      <c r="L778" s="64">
        <v>284000</v>
      </c>
      <c r="M778" s="64">
        <v>246500</v>
      </c>
      <c r="N778" s="64">
        <v>292000</v>
      </c>
    </row>
    <row r="779" spans="2:14" x14ac:dyDescent="0.2">
      <c r="B779" s="67"/>
      <c r="C779" s="66"/>
      <c r="D779" s="66"/>
      <c r="E779" s="66"/>
      <c r="F779" s="213" t="s">
        <v>243</v>
      </c>
      <c r="G779" s="162">
        <v>475627</v>
      </c>
      <c r="H779" s="162">
        <v>337314</v>
      </c>
      <c r="I779" s="64">
        <v>503988</v>
      </c>
      <c r="J779" s="64">
        <v>758889</v>
      </c>
      <c r="K779" s="64">
        <f>217929.73+646050.24</f>
        <v>863979.97</v>
      </c>
      <c r="L779" s="64">
        <v>850000</v>
      </c>
      <c r="M779" s="64">
        <v>965000</v>
      </c>
      <c r="N779" s="64">
        <v>942500</v>
      </c>
    </row>
    <row r="780" spans="2:14" x14ac:dyDescent="0.2">
      <c r="B780" s="67"/>
      <c r="C780" s="66"/>
      <c r="D780" s="66"/>
      <c r="E780" s="66"/>
      <c r="F780" s="213" t="s">
        <v>170</v>
      </c>
      <c r="G780" s="162">
        <v>38433</v>
      </c>
      <c r="H780" s="162">
        <v>38553</v>
      </c>
      <c r="I780" s="64">
        <v>47524</v>
      </c>
      <c r="J780" s="64">
        <v>68217</v>
      </c>
      <c r="K780" s="64">
        <f>37786.63+24374.1</f>
        <v>62160.729999999996</v>
      </c>
      <c r="L780" s="64">
        <v>68000</v>
      </c>
      <c r="M780" s="64">
        <v>62000</v>
      </c>
      <c r="N780" s="64">
        <v>68000</v>
      </c>
    </row>
    <row r="781" spans="2:14" x14ac:dyDescent="0.2">
      <c r="B781" s="67"/>
      <c r="C781" s="66"/>
      <c r="D781" s="66"/>
      <c r="E781" s="66"/>
      <c r="F781" s="213" t="s">
        <v>171</v>
      </c>
      <c r="G781" s="162">
        <v>1197633</v>
      </c>
      <c r="H781" s="162">
        <v>1013823</v>
      </c>
      <c r="I781" s="64">
        <v>1614692</v>
      </c>
      <c r="J781" s="64">
        <v>2191008</v>
      </c>
      <c r="K781" s="64">
        <v>2380936.75</v>
      </c>
      <c r="L781" s="64">
        <v>2461000</v>
      </c>
      <c r="M781" s="64">
        <v>2096950</v>
      </c>
      <c r="N781" s="64">
        <v>2495000</v>
      </c>
    </row>
    <row r="782" spans="2:14" x14ac:dyDescent="0.2">
      <c r="B782" s="67"/>
      <c r="C782" s="66"/>
      <c r="D782" s="66"/>
      <c r="E782" s="66"/>
      <c r="F782" s="213" t="s">
        <v>201</v>
      </c>
      <c r="G782" s="162">
        <v>42653</v>
      </c>
      <c r="H782" s="162">
        <v>23531</v>
      </c>
      <c r="I782" s="64">
        <v>96078</v>
      </c>
      <c r="J782" s="64">
        <v>97185</v>
      </c>
      <c r="K782" s="64">
        <f>36777.36+123837.76</f>
        <v>160615.12</v>
      </c>
      <c r="L782" s="64">
        <v>187000</v>
      </c>
      <c r="M782" s="64">
        <v>107000</v>
      </c>
      <c r="N782" s="64">
        <v>178000</v>
      </c>
    </row>
    <row r="783" spans="2:14" x14ac:dyDescent="0.2">
      <c r="B783" s="67"/>
      <c r="C783" s="66"/>
      <c r="D783" s="66"/>
      <c r="E783" s="66"/>
      <c r="F783" s="213" t="s">
        <v>226</v>
      </c>
      <c r="G783" s="162">
        <v>191701</v>
      </c>
      <c r="H783" s="162">
        <v>129632</v>
      </c>
      <c r="I783" s="64">
        <v>192466</v>
      </c>
      <c r="J783" s="64">
        <v>132246</v>
      </c>
      <c r="K783" s="64">
        <f>468051.68+1138+6437.04</f>
        <v>475626.72</v>
      </c>
      <c r="L783" s="64">
        <v>232500</v>
      </c>
      <c r="M783" s="64">
        <v>198500</v>
      </c>
      <c r="N783" s="64">
        <v>226500</v>
      </c>
    </row>
    <row r="784" spans="2:14" x14ac:dyDescent="0.2">
      <c r="B784" s="67"/>
      <c r="C784" s="66"/>
      <c r="D784" s="66"/>
      <c r="E784" s="66"/>
      <c r="F784" s="213" t="s">
        <v>188</v>
      </c>
      <c r="G784" s="162">
        <v>164994</v>
      </c>
      <c r="H784" s="162">
        <v>189998</v>
      </c>
      <c r="I784" s="64">
        <v>260680</v>
      </c>
      <c r="J784" s="64">
        <v>242986</v>
      </c>
      <c r="K784" s="64">
        <f>68014.77+131790.99+3837.35+1032.14</f>
        <v>204675.25000000003</v>
      </c>
      <c r="L784" s="64">
        <v>321134</v>
      </c>
      <c r="M784" s="64">
        <v>280000</v>
      </c>
      <c r="N784" s="64">
        <v>344534</v>
      </c>
    </row>
    <row r="785" spans="2:14" x14ac:dyDescent="0.2">
      <c r="B785" s="67"/>
      <c r="C785" s="66"/>
      <c r="D785" s="66"/>
      <c r="E785" s="66"/>
      <c r="F785" s="213" t="s">
        <v>172</v>
      </c>
      <c r="G785" s="162">
        <v>211686</v>
      </c>
      <c r="H785" s="162">
        <v>205750</v>
      </c>
      <c r="I785" s="64">
        <v>214292</v>
      </c>
      <c r="J785" s="64">
        <v>218634</v>
      </c>
      <c r="K785" s="64">
        <v>238169.32</v>
      </c>
      <c r="L785" s="64">
        <v>564000</v>
      </c>
      <c r="M785" s="64">
        <v>228000</v>
      </c>
      <c r="N785" s="64">
        <v>610000</v>
      </c>
    </row>
    <row r="786" spans="2:14" x14ac:dyDescent="0.2">
      <c r="B786" s="67"/>
      <c r="C786" s="66"/>
      <c r="D786" s="66"/>
      <c r="E786" s="66"/>
      <c r="F786" s="213" t="s">
        <v>173</v>
      </c>
      <c r="G786" s="162">
        <v>21784</v>
      </c>
      <c r="H786" s="162">
        <v>20049</v>
      </c>
      <c r="I786" s="64">
        <v>28409</v>
      </c>
      <c r="J786" s="64">
        <v>49050</v>
      </c>
      <c r="K786" s="64">
        <f>20291.49+23434.1+6816.35</f>
        <v>50541.939999999995</v>
      </c>
      <c r="L786" s="64">
        <v>60500</v>
      </c>
      <c r="M786" s="64">
        <v>53500</v>
      </c>
      <c r="N786" s="64">
        <v>61500</v>
      </c>
    </row>
    <row r="787" spans="2:14" x14ac:dyDescent="0.2">
      <c r="B787" s="67"/>
      <c r="C787" s="66"/>
      <c r="D787" s="66"/>
      <c r="E787" s="66"/>
      <c r="F787" s="213" t="s">
        <v>182</v>
      </c>
      <c r="G787" s="162">
        <v>908</v>
      </c>
      <c r="H787" s="162">
        <v>1069</v>
      </c>
      <c r="I787" s="64">
        <v>947</v>
      </c>
      <c r="J787" s="64">
        <v>870</v>
      </c>
      <c r="K787" s="64">
        <v>1886.23</v>
      </c>
      <c r="L787" s="64">
        <v>5000</v>
      </c>
      <c r="M787" s="64">
        <v>2500</v>
      </c>
      <c r="N787" s="64">
        <v>5000</v>
      </c>
    </row>
    <row r="788" spans="2:14" x14ac:dyDescent="0.2">
      <c r="B788" s="67"/>
      <c r="C788" s="66"/>
      <c r="D788" s="66"/>
      <c r="E788" s="66"/>
      <c r="F788" s="213" t="s">
        <v>263</v>
      </c>
      <c r="G788" s="162">
        <v>7040</v>
      </c>
      <c r="H788" s="162">
        <v>35775</v>
      </c>
      <c r="I788" s="64">
        <v>66771</v>
      </c>
      <c r="J788" s="64">
        <v>11858</v>
      </c>
      <c r="K788" s="64">
        <v>43554.36</v>
      </c>
      <c r="L788" s="64">
        <v>0</v>
      </c>
      <c r="M788" s="64">
        <v>0</v>
      </c>
      <c r="N788" s="64">
        <v>0</v>
      </c>
    </row>
    <row r="789" spans="2:14" x14ac:dyDescent="0.2">
      <c r="B789" s="67"/>
      <c r="C789" s="66"/>
      <c r="D789" s="232" t="s">
        <v>264</v>
      </c>
      <c r="E789" s="239"/>
      <c r="F789" s="239"/>
      <c r="G789" s="74">
        <f t="shared" ref="G789:N789" si="198">G790+G799</f>
        <v>844146</v>
      </c>
      <c r="H789" s="74">
        <f t="shared" si="198"/>
        <v>934314</v>
      </c>
      <c r="I789" s="74">
        <f t="shared" si="198"/>
        <v>977910</v>
      </c>
      <c r="J789" s="74">
        <f t="shared" si="198"/>
        <v>1173057</v>
      </c>
      <c r="K789" s="74">
        <f t="shared" si="198"/>
        <v>1060390.2</v>
      </c>
      <c r="L789" s="74">
        <f t="shared" si="198"/>
        <v>1580272</v>
      </c>
      <c r="M789" s="74">
        <f t="shared" si="198"/>
        <v>1275786</v>
      </c>
      <c r="N789" s="74">
        <f t="shared" si="198"/>
        <v>1337059</v>
      </c>
    </row>
    <row r="790" spans="2:14" x14ac:dyDescent="0.2">
      <c r="B790" s="67"/>
      <c r="C790" s="66"/>
      <c r="D790" s="66"/>
      <c r="E790" s="232" t="s">
        <v>164</v>
      </c>
      <c r="F790" s="232"/>
      <c r="G790" s="73">
        <f t="shared" ref="G790:N790" si="199">SUM(G791:G798)</f>
        <v>756303</v>
      </c>
      <c r="H790" s="73">
        <f t="shared" si="199"/>
        <v>818438</v>
      </c>
      <c r="I790" s="73">
        <f t="shared" si="199"/>
        <v>864235</v>
      </c>
      <c r="J790" s="73">
        <f t="shared" si="199"/>
        <v>1126306</v>
      </c>
      <c r="K790" s="73">
        <f t="shared" si="199"/>
        <v>1029792.45</v>
      </c>
      <c r="L790" s="73">
        <f t="shared" si="199"/>
        <v>1307272</v>
      </c>
      <c r="M790" s="73">
        <f t="shared" si="199"/>
        <v>1220792</v>
      </c>
      <c r="N790" s="73">
        <f t="shared" si="199"/>
        <v>1305059</v>
      </c>
    </row>
    <row r="791" spans="2:14" x14ac:dyDescent="0.2">
      <c r="B791" s="67"/>
      <c r="C791" s="66"/>
      <c r="D791" s="66"/>
      <c r="E791" s="66"/>
      <c r="F791" s="213" t="s">
        <v>165</v>
      </c>
      <c r="G791" s="162">
        <v>297086</v>
      </c>
      <c r="H791" s="162">
        <v>324276</v>
      </c>
      <c r="I791" s="64">
        <v>336395</v>
      </c>
      <c r="J791" s="64">
        <v>435030</v>
      </c>
      <c r="K791" s="64">
        <v>340342.02</v>
      </c>
      <c r="L791" s="64">
        <v>553744</v>
      </c>
      <c r="M791" s="64">
        <v>452750</v>
      </c>
      <c r="N791" s="64">
        <v>539740</v>
      </c>
    </row>
    <row r="792" spans="2:14" x14ac:dyDescent="0.2">
      <c r="B792" s="67"/>
      <c r="C792" s="66"/>
      <c r="D792" s="66"/>
      <c r="E792" s="66"/>
      <c r="F792" s="213" t="s">
        <v>233</v>
      </c>
      <c r="G792" s="162">
        <v>393676</v>
      </c>
      <c r="H792" s="162">
        <v>441257</v>
      </c>
      <c r="I792" s="64">
        <v>470633</v>
      </c>
      <c r="J792" s="64">
        <v>567974</v>
      </c>
      <c r="K792" s="64">
        <v>593493.38</v>
      </c>
      <c r="L792" s="64">
        <v>630878</v>
      </c>
      <c r="M792" s="64">
        <v>656142</v>
      </c>
      <c r="N792" s="64">
        <v>642169</v>
      </c>
    </row>
    <row r="793" spans="2:14" x14ac:dyDescent="0.2">
      <c r="B793" s="67"/>
      <c r="C793" s="66"/>
      <c r="D793" s="66"/>
      <c r="E793" s="66"/>
      <c r="F793" s="213" t="s">
        <v>190</v>
      </c>
      <c r="G793" s="162">
        <v>61613</v>
      </c>
      <c r="H793" s="162">
        <v>49619</v>
      </c>
      <c r="I793" s="64">
        <v>53600</v>
      </c>
      <c r="J793" s="64">
        <v>111197</v>
      </c>
      <c r="K793" s="64">
        <v>84243.47</v>
      </c>
      <c r="L793" s="64">
        <v>103000</v>
      </c>
      <c r="M793" s="64">
        <v>100000</v>
      </c>
      <c r="N793" s="64">
        <v>106000</v>
      </c>
    </row>
    <row r="794" spans="2:14" x14ac:dyDescent="0.2">
      <c r="B794" s="67"/>
      <c r="C794" s="66"/>
      <c r="D794" s="66"/>
      <c r="E794" s="66"/>
      <c r="F794" s="213" t="s">
        <v>234</v>
      </c>
      <c r="G794" s="162">
        <v>203</v>
      </c>
      <c r="H794" s="162">
        <v>61</v>
      </c>
      <c r="I794" s="64">
        <v>260</v>
      </c>
      <c r="J794" s="64">
        <v>434</v>
      </c>
      <c r="K794" s="64">
        <v>308.44</v>
      </c>
      <c r="L794" s="64">
        <v>1500</v>
      </c>
      <c r="M794" s="64">
        <v>500</v>
      </c>
      <c r="N794" s="64">
        <v>1000</v>
      </c>
    </row>
    <row r="795" spans="2:14" x14ac:dyDescent="0.2">
      <c r="B795" s="67"/>
      <c r="C795" s="66"/>
      <c r="D795" s="66"/>
      <c r="E795" s="66"/>
      <c r="F795" s="213" t="s">
        <v>238</v>
      </c>
      <c r="G795" s="162">
        <v>1500</v>
      </c>
      <c r="H795" s="162">
        <v>1250</v>
      </c>
      <c r="I795" s="64">
        <v>1250</v>
      </c>
      <c r="J795" s="64">
        <v>1750</v>
      </c>
      <c r="K795" s="64">
        <v>1750</v>
      </c>
      <c r="L795" s="64">
        <v>2450</v>
      </c>
      <c r="M795" s="64">
        <v>2100</v>
      </c>
      <c r="N795" s="64">
        <v>2100</v>
      </c>
    </row>
    <row r="796" spans="2:14" x14ac:dyDescent="0.2">
      <c r="B796" s="67"/>
      <c r="C796" s="66"/>
      <c r="D796" s="66"/>
      <c r="E796" s="66"/>
      <c r="F796" s="213" t="s">
        <v>178</v>
      </c>
      <c r="G796" s="162">
        <v>0</v>
      </c>
      <c r="H796" s="162">
        <v>0</v>
      </c>
      <c r="I796" s="64">
        <v>122</v>
      </c>
      <c r="J796" s="64">
        <v>4921</v>
      </c>
      <c r="K796" s="64">
        <v>2155.14</v>
      </c>
      <c r="L796" s="64">
        <v>3500</v>
      </c>
      <c r="M796" s="64">
        <v>0</v>
      </c>
      <c r="N796" s="64">
        <v>3000</v>
      </c>
    </row>
    <row r="797" spans="2:14" x14ac:dyDescent="0.2">
      <c r="B797" s="67"/>
      <c r="C797" s="66"/>
      <c r="D797" s="66"/>
      <c r="E797" s="66"/>
      <c r="F797" s="213" t="s">
        <v>225</v>
      </c>
      <c r="G797" s="162">
        <v>2225</v>
      </c>
      <c r="H797" s="162">
        <v>1975</v>
      </c>
      <c r="I797" s="64">
        <v>1975</v>
      </c>
      <c r="J797" s="64">
        <v>2500</v>
      </c>
      <c r="K797" s="64">
        <v>2500</v>
      </c>
      <c r="L797" s="64">
        <v>5000</v>
      </c>
      <c r="M797" s="64">
        <v>2500</v>
      </c>
      <c r="N797" s="64">
        <v>3250</v>
      </c>
    </row>
    <row r="798" spans="2:14" x14ac:dyDescent="0.2">
      <c r="B798" s="67"/>
      <c r="C798" s="66"/>
      <c r="D798" s="66"/>
      <c r="E798" s="66"/>
      <c r="F798" s="213" t="s">
        <v>235</v>
      </c>
      <c r="G798" s="162">
        <v>0</v>
      </c>
      <c r="H798" s="162">
        <v>0</v>
      </c>
      <c r="I798" s="64">
        <v>0</v>
      </c>
      <c r="J798" s="64">
        <v>2500</v>
      </c>
      <c r="K798" s="64">
        <v>5000</v>
      </c>
      <c r="L798" s="64">
        <v>7200</v>
      </c>
      <c r="M798" s="64">
        <v>6800</v>
      </c>
      <c r="N798" s="64">
        <v>7800</v>
      </c>
    </row>
    <row r="799" spans="2:14" x14ac:dyDescent="0.2">
      <c r="B799" s="67"/>
      <c r="C799" s="66"/>
      <c r="D799" s="66"/>
      <c r="E799" s="235" t="s">
        <v>175</v>
      </c>
      <c r="F799" s="235"/>
      <c r="G799" s="68">
        <f t="shared" ref="G799:N799" si="200">SUM(G800:G802)</f>
        <v>87843</v>
      </c>
      <c r="H799" s="68">
        <f t="shared" si="200"/>
        <v>115876</v>
      </c>
      <c r="I799" s="68">
        <f t="shared" si="200"/>
        <v>113675</v>
      </c>
      <c r="J799" s="68">
        <f t="shared" si="200"/>
        <v>46751</v>
      </c>
      <c r="K799" s="68">
        <f t="shared" si="200"/>
        <v>30597.75</v>
      </c>
      <c r="L799" s="68">
        <f t="shared" si="200"/>
        <v>273000</v>
      </c>
      <c r="M799" s="68">
        <f t="shared" si="200"/>
        <v>54994</v>
      </c>
      <c r="N799" s="68">
        <f t="shared" si="200"/>
        <v>32000</v>
      </c>
    </row>
    <row r="800" spans="2:14" x14ac:dyDescent="0.2">
      <c r="B800" s="67"/>
      <c r="C800" s="66"/>
      <c r="D800" s="66"/>
      <c r="E800" s="66"/>
      <c r="F800" s="213" t="s">
        <v>226</v>
      </c>
      <c r="G800" s="162">
        <v>1484</v>
      </c>
      <c r="H800" s="162">
        <v>1101</v>
      </c>
      <c r="I800" s="64">
        <v>997</v>
      </c>
      <c r="J800" s="64">
        <v>1200</v>
      </c>
      <c r="K800" s="64">
        <v>600</v>
      </c>
      <c r="L800" s="64">
        <v>2000</v>
      </c>
      <c r="M800" s="64">
        <v>1994</v>
      </c>
      <c r="N800" s="64">
        <v>2000</v>
      </c>
    </row>
    <row r="801" spans="2:14" x14ac:dyDescent="0.2">
      <c r="B801" s="67"/>
      <c r="C801" s="66"/>
      <c r="D801" s="66"/>
      <c r="E801" s="66"/>
      <c r="F801" s="213" t="s">
        <v>172</v>
      </c>
      <c r="G801" s="162">
        <v>86359</v>
      </c>
      <c r="H801" s="162">
        <v>114775</v>
      </c>
      <c r="I801" s="64">
        <v>112678</v>
      </c>
      <c r="J801" s="64">
        <v>20618</v>
      </c>
      <c r="K801" s="64">
        <v>29997.75</v>
      </c>
      <c r="L801" s="64">
        <v>115000</v>
      </c>
      <c r="M801" s="64">
        <v>40000</v>
      </c>
      <c r="N801" s="64">
        <v>30000</v>
      </c>
    </row>
    <row r="802" spans="2:14" x14ac:dyDescent="0.2">
      <c r="B802" s="67"/>
      <c r="C802" s="66"/>
      <c r="D802" s="66"/>
      <c r="E802" s="66"/>
      <c r="F802" s="213" t="s">
        <v>181</v>
      </c>
      <c r="G802" s="162">
        <v>0</v>
      </c>
      <c r="H802" s="162">
        <v>0</v>
      </c>
      <c r="I802" s="64">
        <v>0</v>
      </c>
      <c r="J802" s="64">
        <v>24933</v>
      </c>
      <c r="K802" s="64">
        <v>0</v>
      </c>
      <c r="L802" s="64">
        <v>156000</v>
      </c>
      <c r="M802" s="64">
        <v>13000</v>
      </c>
      <c r="N802" s="64">
        <v>0</v>
      </c>
    </row>
    <row r="803" spans="2:14" x14ac:dyDescent="0.2">
      <c r="B803" s="67"/>
      <c r="C803" s="66"/>
      <c r="D803" s="232" t="s">
        <v>265</v>
      </c>
      <c r="E803" s="239"/>
      <c r="F803" s="239"/>
      <c r="G803" s="74">
        <f>G804+G815</f>
        <v>-5386</v>
      </c>
      <c r="H803" s="74">
        <f>H804+H815</f>
        <v>493929</v>
      </c>
      <c r="I803" s="74">
        <f t="shared" ref="I803:N803" si="201">I804+I815</f>
        <v>0</v>
      </c>
      <c r="J803" s="74">
        <f t="shared" si="201"/>
        <v>0</v>
      </c>
      <c r="K803" s="74">
        <f t="shared" si="201"/>
        <v>0</v>
      </c>
      <c r="L803" s="74">
        <f t="shared" si="201"/>
        <v>0</v>
      </c>
      <c r="M803" s="74">
        <f t="shared" si="201"/>
        <v>0</v>
      </c>
      <c r="N803" s="74">
        <f t="shared" si="201"/>
        <v>0</v>
      </c>
    </row>
    <row r="804" spans="2:14" x14ac:dyDescent="0.2">
      <c r="B804" s="67"/>
      <c r="C804" s="66"/>
      <c r="D804" s="66"/>
      <c r="E804" s="232" t="s">
        <v>164</v>
      </c>
      <c r="F804" s="232"/>
      <c r="G804" s="73">
        <f>SUM(G805:G814)</f>
        <v>-12297</v>
      </c>
      <c r="H804" s="73">
        <f>SUM(H805:H814)</f>
        <v>481805</v>
      </c>
      <c r="I804" s="73">
        <f t="shared" ref="I804:N804" si="202">SUM(I805:I814)</f>
        <v>0</v>
      </c>
      <c r="J804" s="73">
        <f t="shared" si="202"/>
        <v>0</v>
      </c>
      <c r="K804" s="73">
        <f t="shared" si="202"/>
        <v>0</v>
      </c>
      <c r="L804" s="73">
        <f t="shared" si="202"/>
        <v>0</v>
      </c>
      <c r="M804" s="73">
        <f t="shared" si="202"/>
        <v>0</v>
      </c>
      <c r="N804" s="73">
        <f t="shared" si="202"/>
        <v>0</v>
      </c>
    </row>
    <row r="805" spans="2:14" x14ac:dyDescent="0.2">
      <c r="B805" s="67"/>
      <c r="C805" s="66"/>
      <c r="D805" s="66"/>
      <c r="E805" s="66"/>
      <c r="F805" s="213" t="s">
        <v>165</v>
      </c>
      <c r="G805" s="162">
        <v>1804908</v>
      </c>
      <c r="H805" s="162">
        <v>1885734</v>
      </c>
      <c r="I805" s="162">
        <v>0</v>
      </c>
      <c r="J805" s="162">
        <v>0</v>
      </c>
      <c r="K805" s="162">
        <v>0</v>
      </c>
      <c r="L805" s="162">
        <v>0</v>
      </c>
      <c r="M805" s="162">
        <v>0</v>
      </c>
      <c r="N805" s="162">
        <v>0</v>
      </c>
    </row>
    <row r="806" spans="2:14" x14ac:dyDescent="0.2">
      <c r="B806" s="67"/>
      <c r="C806" s="66"/>
      <c r="D806" s="66"/>
      <c r="E806" s="66"/>
      <c r="F806" s="213" t="s">
        <v>190</v>
      </c>
      <c r="G806" s="162">
        <v>347560</v>
      </c>
      <c r="H806" s="162">
        <v>434283</v>
      </c>
      <c r="I806" s="162">
        <v>0</v>
      </c>
      <c r="J806" s="162">
        <v>0</v>
      </c>
      <c r="K806" s="162">
        <v>0</v>
      </c>
      <c r="L806" s="162">
        <v>0</v>
      </c>
      <c r="M806" s="162">
        <v>0</v>
      </c>
      <c r="N806" s="162">
        <v>0</v>
      </c>
    </row>
    <row r="807" spans="2:14" x14ac:dyDescent="0.2">
      <c r="B807" s="67"/>
      <c r="C807" s="66"/>
      <c r="D807" s="66"/>
      <c r="E807" s="66"/>
      <c r="F807" s="213" t="s">
        <v>252</v>
      </c>
      <c r="G807" s="162">
        <v>156473</v>
      </c>
      <c r="H807" s="162">
        <v>156086</v>
      </c>
      <c r="I807" s="162">
        <v>0</v>
      </c>
      <c r="J807" s="162">
        <v>0</v>
      </c>
      <c r="K807" s="162">
        <v>0</v>
      </c>
      <c r="L807" s="162">
        <v>0</v>
      </c>
      <c r="M807" s="162">
        <v>0</v>
      </c>
      <c r="N807" s="162">
        <v>0</v>
      </c>
    </row>
    <row r="808" spans="2:14" x14ac:dyDescent="0.2">
      <c r="B808" s="67"/>
      <c r="C808" s="66"/>
      <c r="D808" s="66"/>
      <c r="E808" s="66"/>
      <c r="F808" s="213" t="s">
        <v>234</v>
      </c>
      <c r="G808" s="162">
        <v>24523</v>
      </c>
      <c r="H808" s="162">
        <v>28989</v>
      </c>
      <c r="I808" s="162">
        <v>0</v>
      </c>
      <c r="J808" s="162">
        <v>0</v>
      </c>
      <c r="K808" s="162">
        <v>0</v>
      </c>
      <c r="L808" s="162">
        <v>0</v>
      </c>
      <c r="M808" s="162">
        <v>0</v>
      </c>
      <c r="N808" s="162">
        <v>0</v>
      </c>
    </row>
    <row r="809" spans="2:14" x14ac:dyDescent="0.2">
      <c r="B809" s="67"/>
      <c r="C809" s="66"/>
      <c r="D809" s="66"/>
      <c r="E809" s="66"/>
      <c r="F809" s="213" t="s">
        <v>178</v>
      </c>
      <c r="G809" s="162">
        <v>0</v>
      </c>
      <c r="H809" s="162">
        <v>374</v>
      </c>
      <c r="I809" s="162">
        <v>0</v>
      </c>
      <c r="J809" s="162">
        <v>0</v>
      </c>
      <c r="K809" s="162">
        <v>0</v>
      </c>
      <c r="L809" s="162">
        <v>0</v>
      </c>
      <c r="M809" s="162">
        <v>0</v>
      </c>
      <c r="N809" s="162">
        <v>0</v>
      </c>
    </row>
    <row r="810" spans="2:14" x14ac:dyDescent="0.2">
      <c r="B810" s="67"/>
      <c r="C810" s="66"/>
      <c r="D810" s="66"/>
      <c r="E810" s="66"/>
      <c r="F810" s="213" t="s">
        <v>253</v>
      </c>
      <c r="G810" s="162">
        <v>72442</v>
      </c>
      <c r="H810" s="162">
        <v>69695</v>
      </c>
      <c r="I810" s="162">
        <v>0</v>
      </c>
      <c r="J810" s="162">
        <v>0</v>
      </c>
      <c r="K810" s="162">
        <v>0</v>
      </c>
      <c r="L810" s="162">
        <v>0</v>
      </c>
      <c r="M810" s="162">
        <v>0</v>
      </c>
      <c r="N810" s="162">
        <v>0</v>
      </c>
    </row>
    <row r="811" spans="2:14" x14ac:dyDescent="0.2">
      <c r="B811" s="67"/>
      <c r="C811" s="66"/>
      <c r="D811" s="66"/>
      <c r="E811" s="66"/>
      <c r="F811" s="213" t="s">
        <v>235</v>
      </c>
      <c r="G811" s="162">
        <v>16500</v>
      </c>
      <c r="H811" s="162">
        <v>16200</v>
      </c>
      <c r="I811" s="162">
        <v>0</v>
      </c>
      <c r="J811" s="162">
        <v>0</v>
      </c>
      <c r="K811" s="162">
        <v>0</v>
      </c>
      <c r="L811" s="162">
        <v>0</v>
      </c>
      <c r="M811" s="162">
        <v>0</v>
      </c>
      <c r="N811" s="162">
        <v>0</v>
      </c>
    </row>
    <row r="812" spans="2:14" x14ac:dyDescent="0.2">
      <c r="B812" s="67"/>
      <c r="C812" s="66"/>
      <c r="D812" s="66"/>
      <c r="E812" s="66"/>
      <c r="F812" s="213" t="s">
        <v>254</v>
      </c>
      <c r="G812" s="162">
        <v>36754</v>
      </c>
      <c r="H812" s="162">
        <v>64663</v>
      </c>
      <c r="I812" s="162">
        <v>0</v>
      </c>
      <c r="J812" s="162">
        <v>0</v>
      </c>
      <c r="K812" s="162">
        <v>0</v>
      </c>
      <c r="L812" s="162">
        <v>0</v>
      </c>
      <c r="M812" s="162">
        <v>0</v>
      </c>
      <c r="N812" s="162">
        <v>0</v>
      </c>
    </row>
    <row r="813" spans="2:14" x14ac:dyDescent="0.2">
      <c r="B813" s="67"/>
      <c r="C813" s="66"/>
      <c r="D813" s="66"/>
      <c r="E813" s="66"/>
      <c r="F813" s="213" t="s">
        <v>262</v>
      </c>
      <c r="G813" s="162">
        <v>14721</v>
      </c>
      <c r="H813" s="162">
        <v>16486</v>
      </c>
      <c r="I813" s="162">
        <v>0</v>
      </c>
      <c r="J813" s="162">
        <v>0</v>
      </c>
      <c r="K813" s="162">
        <v>0</v>
      </c>
      <c r="L813" s="162">
        <v>0</v>
      </c>
      <c r="M813" s="162">
        <v>0</v>
      </c>
      <c r="N813" s="162">
        <v>0</v>
      </c>
    </row>
    <row r="814" spans="2:14" x14ac:dyDescent="0.2">
      <c r="B814" s="67"/>
      <c r="C814" s="66"/>
      <c r="D814" s="66"/>
      <c r="E814" s="66"/>
      <c r="F814" s="213" t="s">
        <v>179</v>
      </c>
      <c r="G814" s="162">
        <v>-2486178</v>
      </c>
      <c r="H814" s="162">
        <v>-2190705</v>
      </c>
      <c r="I814" s="162">
        <v>0</v>
      </c>
      <c r="J814" s="162">
        <v>0</v>
      </c>
      <c r="K814" s="162">
        <v>0</v>
      </c>
      <c r="L814" s="162">
        <v>0</v>
      </c>
      <c r="M814" s="162">
        <v>0</v>
      </c>
      <c r="N814" s="162">
        <v>0</v>
      </c>
    </row>
    <row r="815" spans="2:14" x14ac:dyDescent="0.2">
      <c r="B815" s="67"/>
      <c r="C815" s="66"/>
      <c r="D815" s="66"/>
      <c r="E815" s="235" t="s">
        <v>175</v>
      </c>
      <c r="F815" s="235"/>
      <c r="G815" s="68">
        <f>SUM(G816:G816)</f>
        <v>6911</v>
      </c>
      <c r="H815" s="68">
        <f>SUM(H816:H816)</f>
        <v>12124</v>
      </c>
      <c r="I815" s="68">
        <f t="shared" ref="I815:N815" si="203">SUM(I816:I816)</f>
        <v>0</v>
      </c>
      <c r="J815" s="68">
        <f t="shared" si="203"/>
        <v>0</v>
      </c>
      <c r="K815" s="68">
        <f t="shared" si="203"/>
        <v>0</v>
      </c>
      <c r="L815" s="68">
        <f t="shared" si="203"/>
        <v>0</v>
      </c>
      <c r="M815" s="68">
        <f t="shared" si="203"/>
        <v>0</v>
      </c>
      <c r="N815" s="68">
        <f t="shared" si="203"/>
        <v>0</v>
      </c>
    </row>
    <row r="816" spans="2:14" x14ac:dyDescent="0.2">
      <c r="B816" s="67"/>
      <c r="C816" s="66"/>
      <c r="D816" s="66"/>
      <c r="E816" s="66"/>
      <c r="F816" s="213" t="s">
        <v>226</v>
      </c>
      <c r="G816" s="162">
        <v>6911</v>
      </c>
      <c r="H816" s="162">
        <v>12124</v>
      </c>
      <c r="I816" s="64">
        <v>0</v>
      </c>
      <c r="J816" s="64">
        <v>0</v>
      </c>
      <c r="K816" s="64">
        <v>0</v>
      </c>
      <c r="L816" s="64">
        <v>0</v>
      </c>
      <c r="M816" s="64">
        <v>0</v>
      </c>
      <c r="N816" s="64">
        <v>0</v>
      </c>
    </row>
    <row r="817" spans="2:14" x14ac:dyDescent="0.2">
      <c r="B817" s="67"/>
      <c r="C817" s="236" t="s">
        <v>266</v>
      </c>
      <c r="D817" s="236"/>
      <c r="E817" s="236"/>
      <c r="F817" s="236"/>
      <c r="G817" s="71">
        <f t="shared" ref="G817:N817" si="204">G818+G833+G858+G877</f>
        <v>7290680</v>
      </c>
      <c r="H817" s="71">
        <f t="shared" si="204"/>
        <v>5072130</v>
      </c>
      <c r="I817" s="71">
        <f t="shared" si="204"/>
        <v>7341337</v>
      </c>
      <c r="J817" s="71">
        <f t="shared" si="204"/>
        <v>8975873</v>
      </c>
      <c r="K817" s="71">
        <f t="shared" si="204"/>
        <v>10531169.560000001</v>
      </c>
      <c r="L817" s="71">
        <f t="shared" si="204"/>
        <v>12210382</v>
      </c>
      <c r="M817" s="71">
        <f t="shared" si="204"/>
        <v>11883573</v>
      </c>
      <c r="N817" s="71">
        <f t="shared" si="204"/>
        <v>13086463</v>
      </c>
    </row>
    <row r="818" spans="2:14" x14ac:dyDescent="0.2">
      <c r="B818" s="67"/>
      <c r="C818" s="66"/>
      <c r="D818" s="233" t="s">
        <v>267</v>
      </c>
      <c r="E818" s="234"/>
      <c r="F818" s="234"/>
      <c r="G818" s="79">
        <f t="shared" ref="G818:N818" si="205">G819+G824+G826</f>
        <v>459348</v>
      </c>
      <c r="H818" s="79">
        <f t="shared" si="205"/>
        <v>418849</v>
      </c>
      <c r="I818" s="79">
        <f t="shared" si="205"/>
        <v>440288</v>
      </c>
      <c r="J818" s="79">
        <f t="shared" si="205"/>
        <v>543084</v>
      </c>
      <c r="K818" s="79">
        <f t="shared" si="205"/>
        <v>537529.96</v>
      </c>
      <c r="L818" s="79">
        <f t="shared" si="205"/>
        <v>629905</v>
      </c>
      <c r="M818" s="79">
        <f t="shared" si="205"/>
        <v>557976</v>
      </c>
      <c r="N818" s="79">
        <f t="shared" si="205"/>
        <v>837816</v>
      </c>
    </row>
    <row r="819" spans="2:14" x14ac:dyDescent="0.2">
      <c r="B819" s="67"/>
      <c r="C819" s="66"/>
      <c r="D819" s="66"/>
      <c r="E819" s="238" t="s">
        <v>206</v>
      </c>
      <c r="F819" s="238"/>
      <c r="G819" s="80">
        <f t="shared" ref="G819:N819" si="206">SUM(G820:G823)</f>
        <v>441838</v>
      </c>
      <c r="H819" s="80">
        <f t="shared" si="206"/>
        <v>370032</v>
      </c>
      <c r="I819" s="80">
        <f t="shared" si="206"/>
        <v>406453</v>
      </c>
      <c r="J819" s="80">
        <f t="shared" si="206"/>
        <v>461474</v>
      </c>
      <c r="K819" s="80">
        <f t="shared" si="206"/>
        <v>509783.62</v>
      </c>
      <c r="L819" s="80">
        <f t="shared" si="206"/>
        <v>592733</v>
      </c>
      <c r="M819" s="80">
        <f t="shared" si="206"/>
        <v>527536</v>
      </c>
      <c r="N819" s="80">
        <f t="shared" si="206"/>
        <v>699232</v>
      </c>
    </row>
    <row r="820" spans="2:14" x14ac:dyDescent="0.2">
      <c r="B820" s="67"/>
      <c r="C820" s="66"/>
      <c r="D820" s="66"/>
      <c r="E820" s="66"/>
      <c r="F820" s="213" t="s">
        <v>165</v>
      </c>
      <c r="G820" s="162">
        <v>427038</v>
      </c>
      <c r="H820" s="162">
        <v>369496</v>
      </c>
      <c r="I820" s="70">
        <v>405185</v>
      </c>
      <c r="J820" s="70">
        <v>457036</v>
      </c>
      <c r="K820" s="70">
        <v>504482.62</v>
      </c>
      <c r="L820" s="70">
        <v>578133</v>
      </c>
      <c r="M820" s="70">
        <v>517002</v>
      </c>
      <c r="N820" s="70">
        <v>678504</v>
      </c>
    </row>
    <row r="821" spans="2:14" x14ac:dyDescent="0.2">
      <c r="B821" s="67"/>
      <c r="C821" s="66"/>
      <c r="D821" s="66"/>
      <c r="E821" s="66"/>
      <c r="F821" s="213" t="s">
        <v>166</v>
      </c>
      <c r="G821" s="162">
        <v>11704</v>
      </c>
      <c r="H821" s="162">
        <v>0</v>
      </c>
      <c r="I821" s="64">
        <v>0</v>
      </c>
      <c r="J821" s="64">
        <v>0</v>
      </c>
      <c r="K821" s="64">
        <v>2551</v>
      </c>
      <c r="L821" s="64">
        <v>12600</v>
      </c>
      <c r="M821" s="64">
        <v>3116</v>
      </c>
      <c r="N821" s="64">
        <v>13728</v>
      </c>
    </row>
    <row r="822" spans="2:14" x14ac:dyDescent="0.2">
      <c r="B822" s="67"/>
      <c r="C822" s="66"/>
      <c r="D822" s="66"/>
      <c r="E822" s="66"/>
      <c r="F822" s="213" t="s">
        <v>190</v>
      </c>
      <c r="G822" s="162">
        <v>474</v>
      </c>
      <c r="H822" s="162">
        <v>0</v>
      </c>
      <c r="I822" s="64">
        <v>1268</v>
      </c>
      <c r="J822" s="64">
        <v>3321</v>
      </c>
      <c r="K822" s="64">
        <v>2722.36</v>
      </c>
      <c r="L822" s="64">
        <v>2000</v>
      </c>
      <c r="M822" s="64">
        <v>7418</v>
      </c>
      <c r="N822" s="64">
        <v>7000</v>
      </c>
    </row>
    <row r="823" spans="2:14" x14ac:dyDescent="0.2">
      <c r="B823" s="67"/>
      <c r="C823" s="66"/>
      <c r="D823" s="66"/>
      <c r="E823" s="66"/>
      <c r="F823" s="213" t="s">
        <v>178</v>
      </c>
      <c r="G823" s="162">
        <v>2622</v>
      </c>
      <c r="H823" s="162">
        <v>536</v>
      </c>
      <c r="I823" s="64">
        <v>0</v>
      </c>
      <c r="J823" s="64">
        <v>1117</v>
      </c>
      <c r="K823" s="64">
        <v>27.64</v>
      </c>
      <c r="L823" s="64">
        <v>0</v>
      </c>
      <c r="M823" s="64">
        <v>0</v>
      </c>
      <c r="N823" s="64">
        <v>0</v>
      </c>
    </row>
    <row r="824" spans="2:14" x14ac:dyDescent="0.2">
      <c r="B824" s="67"/>
      <c r="C824" s="66"/>
      <c r="D824" s="66"/>
      <c r="E824" s="235" t="s">
        <v>167</v>
      </c>
      <c r="F824" s="235"/>
      <c r="G824" s="65">
        <f t="shared" ref="G824:N824" si="207">G825</f>
        <v>0</v>
      </c>
      <c r="H824" s="65">
        <f t="shared" si="207"/>
        <v>0</v>
      </c>
      <c r="I824" s="65">
        <f t="shared" si="207"/>
        <v>0</v>
      </c>
      <c r="J824" s="65">
        <f t="shared" si="207"/>
        <v>8988</v>
      </c>
      <c r="K824" s="65">
        <f t="shared" si="207"/>
        <v>0</v>
      </c>
      <c r="L824" s="65">
        <f t="shared" si="207"/>
        <v>0</v>
      </c>
      <c r="M824" s="65">
        <f t="shared" si="207"/>
        <v>0</v>
      </c>
      <c r="N824" s="65">
        <f t="shared" si="207"/>
        <v>0</v>
      </c>
    </row>
    <row r="825" spans="2:14" x14ac:dyDescent="0.2">
      <c r="B825" s="67"/>
      <c r="C825" s="66"/>
      <c r="D825" s="66"/>
      <c r="E825" s="66"/>
      <c r="F825" s="213" t="s">
        <v>168</v>
      </c>
      <c r="G825" s="162">
        <v>0</v>
      </c>
      <c r="H825" s="162">
        <v>0</v>
      </c>
      <c r="I825" s="70">
        <v>0</v>
      </c>
      <c r="J825" s="70">
        <v>8988</v>
      </c>
      <c r="K825" s="70">
        <v>0</v>
      </c>
      <c r="L825" s="70">
        <v>0</v>
      </c>
      <c r="M825" s="70">
        <v>0</v>
      </c>
      <c r="N825" s="70">
        <v>0</v>
      </c>
    </row>
    <row r="826" spans="2:14" x14ac:dyDescent="0.2">
      <c r="B826" s="67"/>
      <c r="C826" s="66"/>
      <c r="D826" s="66"/>
      <c r="E826" s="235" t="s">
        <v>256</v>
      </c>
      <c r="F826" s="235"/>
      <c r="G826" s="77">
        <f t="shared" ref="G826:N826" si="208">SUM(G827:G832)</f>
        <v>17510</v>
      </c>
      <c r="H826" s="77">
        <f t="shared" si="208"/>
        <v>48817</v>
      </c>
      <c r="I826" s="77">
        <f t="shared" si="208"/>
        <v>33835</v>
      </c>
      <c r="J826" s="77">
        <f t="shared" si="208"/>
        <v>72622</v>
      </c>
      <c r="K826" s="77">
        <f t="shared" si="208"/>
        <v>27746.34</v>
      </c>
      <c r="L826" s="77">
        <f t="shared" si="208"/>
        <v>37172</v>
      </c>
      <c r="M826" s="77">
        <f t="shared" si="208"/>
        <v>30440</v>
      </c>
      <c r="N826" s="77">
        <f t="shared" si="208"/>
        <v>138584</v>
      </c>
    </row>
    <row r="827" spans="2:14" x14ac:dyDescent="0.2">
      <c r="B827" s="67"/>
      <c r="C827" s="66"/>
      <c r="D827" s="66"/>
      <c r="E827" s="66"/>
      <c r="F827" s="213" t="s">
        <v>170</v>
      </c>
      <c r="G827" s="162">
        <v>11145</v>
      </c>
      <c r="H827" s="162">
        <v>6940</v>
      </c>
      <c r="I827" s="70">
        <v>15676</v>
      </c>
      <c r="J827" s="70">
        <v>21084</v>
      </c>
      <c r="K827" s="70">
        <f>13761.73+3929.36</f>
        <v>17691.09</v>
      </c>
      <c r="L827" s="70">
        <v>26050</v>
      </c>
      <c r="M827" s="70">
        <v>20559</v>
      </c>
      <c r="N827" s="70">
        <v>23000</v>
      </c>
    </row>
    <row r="828" spans="2:14" x14ac:dyDescent="0.2">
      <c r="B828" s="67"/>
      <c r="C828" s="66"/>
      <c r="D828" s="66"/>
      <c r="E828" s="66"/>
      <c r="F828" s="213" t="s">
        <v>171</v>
      </c>
      <c r="G828" s="162">
        <v>104</v>
      </c>
      <c r="H828" s="162">
        <v>37649</v>
      </c>
      <c r="I828" s="64">
        <v>10759</v>
      </c>
      <c r="J828" s="64">
        <v>42903</v>
      </c>
      <c r="K828" s="64">
        <f>371.29+234.15+119.84+144</f>
        <v>869.28000000000009</v>
      </c>
      <c r="L828" s="64">
        <v>140</v>
      </c>
      <c r="M828" s="64">
        <v>125</v>
      </c>
      <c r="N828" s="64">
        <v>3140</v>
      </c>
    </row>
    <row r="829" spans="2:14" x14ac:dyDescent="0.2">
      <c r="B829" s="67"/>
      <c r="C829" s="66"/>
      <c r="D829" s="66"/>
      <c r="E829" s="66"/>
      <c r="F829" s="213" t="s">
        <v>188</v>
      </c>
      <c r="G829" s="162">
        <v>0</v>
      </c>
      <c r="H829" s="162">
        <v>3344</v>
      </c>
      <c r="I829" s="64">
        <v>0</v>
      </c>
      <c r="J829" s="64">
        <v>0</v>
      </c>
      <c r="K829" s="64">
        <v>0</v>
      </c>
      <c r="L829" s="64">
        <v>0</v>
      </c>
      <c r="M829" s="64">
        <v>0</v>
      </c>
      <c r="N829" s="64">
        <v>0</v>
      </c>
    </row>
    <row r="830" spans="2:14" x14ac:dyDescent="0.2">
      <c r="B830" s="67"/>
      <c r="C830" s="66"/>
      <c r="D830" s="66"/>
      <c r="E830" s="66"/>
      <c r="F830" s="213" t="s">
        <v>172</v>
      </c>
      <c r="G830" s="162">
        <v>0</v>
      </c>
      <c r="H830" s="162">
        <v>0</v>
      </c>
      <c r="I830" s="64">
        <v>0</v>
      </c>
      <c r="J830" s="64">
        <v>0</v>
      </c>
      <c r="K830" s="64">
        <v>5300</v>
      </c>
      <c r="L830" s="64">
        <v>1500</v>
      </c>
      <c r="M830" s="64">
        <v>1000</v>
      </c>
      <c r="N830" s="64">
        <v>100000</v>
      </c>
    </row>
    <row r="831" spans="2:14" x14ac:dyDescent="0.2">
      <c r="B831" s="67"/>
      <c r="C831" s="66"/>
      <c r="D831" s="66"/>
      <c r="E831" s="66"/>
      <c r="F831" s="213" t="s">
        <v>173</v>
      </c>
      <c r="G831" s="162">
        <v>5802</v>
      </c>
      <c r="H831" s="162">
        <v>425</v>
      </c>
      <c r="I831" s="64">
        <v>6963</v>
      </c>
      <c r="J831" s="64">
        <v>8261</v>
      </c>
      <c r="K831" s="64">
        <f>1421.08+1344.44+785</f>
        <v>3550.52</v>
      </c>
      <c r="L831" s="64">
        <v>8564</v>
      </c>
      <c r="M831" s="64">
        <v>7980</v>
      </c>
      <c r="N831" s="64">
        <v>11564</v>
      </c>
    </row>
    <row r="832" spans="2:14" x14ac:dyDescent="0.2">
      <c r="B832" s="67"/>
      <c r="C832" s="66"/>
      <c r="D832" s="66"/>
      <c r="E832" s="66"/>
      <c r="F832" s="213" t="s">
        <v>207</v>
      </c>
      <c r="G832" s="162">
        <v>459</v>
      </c>
      <c r="H832" s="162">
        <v>459</v>
      </c>
      <c r="I832" s="64">
        <v>437</v>
      </c>
      <c r="J832" s="64">
        <v>374</v>
      </c>
      <c r="K832" s="64">
        <v>335.45</v>
      </c>
      <c r="L832" s="64">
        <v>918</v>
      </c>
      <c r="M832" s="64">
        <v>776</v>
      </c>
      <c r="N832" s="64">
        <v>880</v>
      </c>
    </row>
    <row r="833" spans="2:14" x14ac:dyDescent="0.2">
      <c r="B833" s="67"/>
      <c r="C833" s="66"/>
      <c r="D833" s="233" t="s">
        <v>268</v>
      </c>
      <c r="E833" s="234"/>
      <c r="F833" s="234"/>
      <c r="G833" s="79">
        <f t="shared" ref="G833:N833" si="209">G834+G845+G847</f>
        <v>3318072</v>
      </c>
      <c r="H833" s="79">
        <f t="shared" si="209"/>
        <v>3021150</v>
      </c>
      <c r="I833" s="79">
        <f t="shared" si="209"/>
        <v>3927596</v>
      </c>
      <c r="J833" s="79">
        <f t="shared" si="209"/>
        <v>4789044</v>
      </c>
      <c r="K833" s="79">
        <f t="shared" si="209"/>
        <v>5612106.9700000007</v>
      </c>
      <c r="L833" s="79">
        <f t="shared" si="209"/>
        <v>6287051</v>
      </c>
      <c r="M833" s="79">
        <f t="shared" si="209"/>
        <v>6347610</v>
      </c>
      <c r="N833" s="79">
        <f t="shared" si="209"/>
        <v>6903824</v>
      </c>
    </row>
    <row r="834" spans="2:14" x14ac:dyDescent="0.2">
      <c r="B834" s="67"/>
      <c r="C834" s="66"/>
      <c r="D834" s="66"/>
      <c r="E834" s="232" t="s">
        <v>164</v>
      </c>
      <c r="F834" s="232"/>
      <c r="G834" s="73">
        <f t="shared" ref="G834:N834" si="210">SUM(G835:G844)</f>
        <v>1955644</v>
      </c>
      <c r="H834" s="73">
        <f t="shared" si="210"/>
        <v>1799587</v>
      </c>
      <c r="I834" s="73">
        <f t="shared" si="210"/>
        <v>2278867</v>
      </c>
      <c r="J834" s="73">
        <f t="shared" si="210"/>
        <v>2814178</v>
      </c>
      <c r="K834" s="73">
        <f t="shared" si="210"/>
        <v>3021419.83</v>
      </c>
      <c r="L834" s="73">
        <f t="shared" si="210"/>
        <v>3184447</v>
      </c>
      <c r="M834" s="73">
        <f t="shared" si="210"/>
        <v>3290359</v>
      </c>
      <c r="N834" s="73">
        <f t="shared" si="210"/>
        <v>3422942</v>
      </c>
    </row>
    <row r="835" spans="2:14" x14ac:dyDescent="0.2">
      <c r="B835" s="67"/>
      <c r="C835" s="66"/>
      <c r="D835" s="66"/>
      <c r="E835" s="66"/>
      <c r="F835" s="213" t="s">
        <v>165</v>
      </c>
      <c r="G835" s="162">
        <v>212630</v>
      </c>
      <c r="H835" s="162">
        <v>236807</v>
      </c>
      <c r="I835" s="64">
        <v>284723</v>
      </c>
      <c r="J835" s="64">
        <v>371648</v>
      </c>
      <c r="K835" s="64">
        <v>385359.3</v>
      </c>
      <c r="L835" s="64">
        <v>470337</v>
      </c>
      <c r="M835" s="64">
        <v>407701</v>
      </c>
      <c r="N835" s="64">
        <v>542963</v>
      </c>
    </row>
    <row r="836" spans="2:14" x14ac:dyDescent="0.2">
      <c r="B836" s="67"/>
      <c r="C836" s="66"/>
      <c r="D836" s="66"/>
      <c r="E836" s="66"/>
      <c r="F836" s="213" t="s">
        <v>233</v>
      </c>
      <c r="G836" s="162">
        <v>1527525</v>
      </c>
      <c r="H836" s="162">
        <v>1439455</v>
      </c>
      <c r="I836" s="64">
        <v>1673739</v>
      </c>
      <c r="J836" s="64">
        <v>1994921</v>
      </c>
      <c r="K836" s="64">
        <v>2035363.86</v>
      </c>
      <c r="L836" s="64">
        <v>2207819</v>
      </c>
      <c r="M836" s="64">
        <v>2283947</v>
      </c>
      <c r="N836" s="64">
        <v>2325783</v>
      </c>
    </row>
    <row r="837" spans="2:14" x14ac:dyDescent="0.2">
      <c r="B837" s="67"/>
      <c r="C837" s="66"/>
      <c r="D837" s="66"/>
      <c r="E837" s="66"/>
      <c r="F837" s="213" t="s">
        <v>166</v>
      </c>
      <c r="G837" s="162">
        <v>95625</v>
      </c>
      <c r="H837" s="162">
        <v>50191</v>
      </c>
      <c r="I837" s="64">
        <v>136911</v>
      </c>
      <c r="J837" s="64">
        <v>200862</v>
      </c>
      <c r="K837" s="64">
        <v>366276.79</v>
      </c>
      <c r="L837" s="64">
        <v>202251</v>
      </c>
      <c r="M837" s="64">
        <v>341865</v>
      </c>
      <c r="N837" s="64">
        <v>250000</v>
      </c>
    </row>
    <row r="838" spans="2:14" x14ac:dyDescent="0.2">
      <c r="B838" s="67"/>
      <c r="C838" s="66"/>
      <c r="D838" s="66"/>
      <c r="E838" s="66"/>
      <c r="F838" s="213" t="s">
        <v>190</v>
      </c>
      <c r="G838" s="162">
        <v>92820</v>
      </c>
      <c r="H838" s="162">
        <v>52575</v>
      </c>
      <c r="I838" s="64">
        <v>163693</v>
      </c>
      <c r="J838" s="64">
        <v>207566</v>
      </c>
      <c r="K838" s="64">
        <v>188590.73</v>
      </c>
      <c r="L838" s="64">
        <v>207000</v>
      </c>
      <c r="M838" s="64">
        <v>206157</v>
      </c>
      <c r="N838" s="64">
        <v>207000</v>
      </c>
    </row>
    <row r="839" spans="2:14" x14ac:dyDescent="0.2">
      <c r="B839" s="67"/>
      <c r="C839" s="66"/>
      <c r="D839" s="66"/>
      <c r="E839" s="66"/>
      <c r="F839" s="213" t="s">
        <v>198</v>
      </c>
      <c r="G839" s="162">
        <v>2980</v>
      </c>
      <c r="H839" s="162">
        <v>60</v>
      </c>
      <c r="I839" s="64">
        <v>2600</v>
      </c>
      <c r="J839" s="64">
        <v>2352</v>
      </c>
      <c r="K839" s="64">
        <v>1488</v>
      </c>
      <c r="L839" s="64">
        <v>2200</v>
      </c>
      <c r="M839" s="64">
        <v>2200</v>
      </c>
      <c r="N839" s="64">
        <v>2200</v>
      </c>
    </row>
    <row r="840" spans="2:14" x14ac:dyDescent="0.2">
      <c r="B840" s="67"/>
      <c r="C840" s="66"/>
      <c r="D840" s="66"/>
      <c r="E840" s="66"/>
      <c r="F840" s="213" t="s">
        <v>234</v>
      </c>
      <c r="G840" s="162">
        <v>238</v>
      </c>
      <c r="H840" s="162">
        <v>263</v>
      </c>
      <c r="I840" s="64">
        <v>94</v>
      </c>
      <c r="J840" s="64">
        <v>0</v>
      </c>
      <c r="K840" s="64">
        <v>1456.5</v>
      </c>
      <c r="L840" s="64">
        <v>0</v>
      </c>
      <c r="M840" s="64">
        <v>349</v>
      </c>
      <c r="N840" s="64">
        <v>356</v>
      </c>
    </row>
    <row r="841" spans="2:14" x14ac:dyDescent="0.2">
      <c r="B841" s="67"/>
      <c r="C841" s="66"/>
      <c r="D841" s="66"/>
      <c r="E841" s="66"/>
      <c r="F841" s="213" t="s">
        <v>238</v>
      </c>
      <c r="G841" s="162">
        <v>1000</v>
      </c>
      <c r="H841" s="162">
        <v>750</v>
      </c>
      <c r="I841" s="64">
        <v>750</v>
      </c>
      <c r="J841" s="64">
        <v>1050</v>
      </c>
      <c r="K841" s="64">
        <v>1050</v>
      </c>
      <c r="L841" s="64">
        <v>1750</v>
      </c>
      <c r="M841" s="64">
        <v>1750</v>
      </c>
      <c r="N841" s="64">
        <v>1750</v>
      </c>
    </row>
    <row r="842" spans="2:14" x14ac:dyDescent="0.2">
      <c r="B842" s="67"/>
      <c r="C842" s="66"/>
      <c r="D842" s="66"/>
      <c r="E842" s="66"/>
      <c r="F842" s="213" t="s">
        <v>178</v>
      </c>
      <c r="G842" s="162">
        <v>12601</v>
      </c>
      <c r="H842" s="162">
        <v>9261</v>
      </c>
      <c r="I842" s="64">
        <v>5407</v>
      </c>
      <c r="J842" s="64">
        <v>11479</v>
      </c>
      <c r="K842" s="64">
        <v>14034.65</v>
      </c>
      <c r="L842" s="64">
        <v>15590</v>
      </c>
      <c r="M842" s="64">
        <v>18640</v>
      </c>
      <c r="N842" s="64">
        <v>15590</v>
      </c>
    </row>
    <row r="843" spans="2:14" x14ac:dyDescent="0.2">
      <c r="B843" s="67"/>
      <c r="C843" s="66"/>
      <c r="D843" s="66"/>
      <c r="E843" s="66"/>
      <c r="F843" s="213" t="s">
        <v>225</v>
      </c>
      <c r="G843" s="162">
        <v>10225</v>
      </c>
      <c r="H843" s="162">
        <v>10225</v>
      </c>
      <c r="I843" s="64">
        <v>10950</v>
      </c>
      <c r="J843" s="64">
        <v>15500</v>
      </c>
      <c r="K843" s="64">
        <v>15000</v>
      </c>
      <c r="L843" s="64">
        <v>17500</v>
      </c>
      <c r="M843" s="64">
        <v>16450</v>
      </c>
      <c r="N843" s="64">
        <v>12500</v>
      </c>
    </row>
    <row r="844" spans="2:14" x14ac:dyDescent="0.2">
      <c r="B844" s="67"/>
      <c r="C844" s="66"/>
      <c r="D844" s="66"/>
      <c r="E844" s="66"/>
      <c r="F844" s="213" t="s">
        <v>235</v>
      </c>
      <c r="G844" s="162">
        <v>0</v>
      </c>
      <c r="H844" s="162">
        <v>0</v>
      </c>
      <c r="I844" s="64">
        <v>0</v>
      </c>
      <c r="J844" s="64">
        <v>8800</v>
      </c>
      <c r="K844" s="64">
        <v>12800</v>
      </c>
      <c r="L844" s="64">
        <v>60000</v>
      </c>
      <c r="M844" s="64">
        <v>11300</v>
      </c>
      <c r="N844" s="64">
        <v>64800</v>
      </c>
    </row>
    <row r="845" spans="2:14" x14ac:dyDescent="0.2">
      <c r="B845" s="67"/>
      <c r="C845" s="66"/>
      <c r="D845" s="66"/>
      <c r="E845" s="235" t="s">
        <v>167</v>
      </c>
      <c r="F845" s="235"/>
      <c r="G845" s="78">
        <f t="shared" ref="G845:N845" si="211">G846</f>
        <v>0</v>
      </c>
      <c r="H845" s="78">
        <f t="shared" si="211"/>
        <v>13164</v>
      </c>
      <c r="I845" s="78">
        <f t="shared" si="211"/>
        <v>21182</v>
      </c>
      <c r="J845" s="78">
        <f t="shared" si="211"/>
        <v>155680</v>
      </c>
      <c r="K845" s="78">
        <f t="shared" si="211"/>
        <v>15122.32</v>
      </c>
      <c r="L845" s="78">
        <f t="shared" si="211"/>
        <v>45000</v>
      </c>
      <c r="M845" s="78">
        <f t="shared" si="211"/>
        <v>19130</v>
      </c>
      <c r="N845" s="78">
        <f t="shared" si="211"/>
        <v>45000</v>
      </c>
    </row>
    <row r="846" spans="2:14" x14ac:dyDescent="0.2">
      <c r="B846" s="67"/>
      <c r="C846" s="66"/>
      <c r="D846" s="66"/>
      <c r="E846" s="66"/>
      <c r="F846" s="214" t="s">
        <v>200</v>
      </c>
      <c r="G846" s="162">
        <v>0</v>
      </c>
      <c r="H846" s="162">
        <v>13164</v>
      </c>
      <c r="I846" s="76">
        <v>21182</v>
      </c>
      <c r="J846" s="76">
        <v>155680</v>
      </c>
      <c r="K846" s="76">
        <v>15122.32</v>
      </c>
      <c r="L846" s="76">
        <v>45000</v>
      </c>
      <c r="M846" s="76">
        <v>19130</v>
      </c>
      <c r="N846" s="76">
        <v>45000</v>
      </c>
    </row>
    <row r="847" spans="2:14" x14ac:dyDescent="0.2">
      <c r="B847" s="67"/>
      <c r="C847" s="66"/>
      <c r="D847" s="66"/>
      <c r="E847" s="235" t="s">
        <v>256</v>
      </c>
      <c r="F847" s="235"/>
      <c r="G847" s="77">
        <f t="shared" ref="G847:N847" si="212">SUM(G848:G857)</f>
        <v>1362428</v>
      </c>
      <c r="H847" s="77">
        <f t="shared" si="212"/>
        <v>1208399</v>
      </c>
      <c r="I847" s="77">
        <f t="shared" si="212"/>
        <v>1627547</v>
      </c>
      <c r="J847" s="77">
        <f t="shared" si="212"/>
        <v>1819186</v>
      </c>
      <c r="K847" s="77">
        <f t="shared" si="212"/>
        <v>2575564.8200000003</v>
      </c>
      <c r="L847" s="77">
        <f t="shared" si="212"/>
        <v>3057604</v>
      </c>
      <c r="M847" s="77">
        <f t="shared" si="212"/>
        <v>3038121</v>
      </c>
      <c r="N847" s="77">
        <f t="shared" si="212"/>
        <v>3435882</v>
      </c>
    </row>
    <row r="848" spans="2:14" x14ac:dyDescent="0.2">
      <c r="B848" s="67"/>
      <c r="C848" s="66"/>
      <c r="D848" s="66"/>
      <c r="E848" s="66"/>
      <c r="F848" s="213" t="s">
        <v>242</v>
      </c>
      <c r="G848" s="162">
        <v>312</v>
      </c>
      <c r="H848" s="162">
        <v>205</v>
      </c>
      <c r="I848" s="76">
        <v>491</v>
      </c>
      <c r="J848" s="76">
        <v>326</v>
      </c>
      <c r="K848" s="76">
        <f>126+221.4</f>
        <v>347.4</v>
      </c>
      <c r="L848" s="76">
        <v>500</v>
      </c>
      <c r="M848" s="76">
        <v>450</v>
      </c>
      <c r="N848" s="76">
        <v>750</v>
      </c>
    </row>
    <row r="849" spans="2:14" x14ac:dyDescent="0.2">
      <c r="B849" s="67"/>
      <c r="C849" s="66"/>
      <c r="D849" s="66"/>
      <c r="E849" s="66"/>
      <c r="F849" s="213" t="s">
        <v>243</v>
      </c>
      <c r="G849" s="162">
        <v>5963</v>
      </c>
      <c r="H849" s="162">
        <v>5003</v>
      </c>
      <c r="I849" s="64">
        <v>6920</v>
      </c>
      <c r="J849" s="64">
        <v>20036</v>
      </c>
      <c r="K849" s="64">
        <f>3921.48+2224.41</f>
        <v>6145.8899999999994</v>
      </c>
      <c r="L849" s="64">
        <v>9000</v>
      </c>
      <c r="M849" s="64">
        <v>12500</v>
      </c>
      <c r="N849" s="64">
        <v>17500</v>
      </c>
    </row>
    <row r="850" spans="2:14" x14ac:dyDescent="0.2">
      <c r="B850" s="67"/>
      <c r="C850" s="66"/>
      <c r="D850" s="66"/>
      <c r="E850" s="66"/>
      <c r="F850" s="213" t="s">
        <v>171</v>
      </c>
      <c r="G850" s="162">
        <v>1261618</v>
      </c>
      <c r="H850" s="162">
        <v>1173752</v>
      </c>
      <c r="I850" s="64">
        <v>1436244</v>
      </c>
      <c r="J850" s="64">
        <v>1609062</v>
      </c>
      <c r="K850" s="64">
        <f>104471.54+59298.5+66500.04+280.27+189.91+286640.92+6321+100870.57+1744839.91+54212.81</f>
        <v>2423625.4700000002</v>
      </c>
      <c r="L850" s="64">
        <v>2913300</v>
      </c>
      <c r="M850" s="64">
        <v>2946990</v>
      </c>
      <c r="N850" s="64">
        <v>3143791</v>
      </c>
    </row>
    <row r="851" spans="2:14" x14ac:dyDescent="0.2">
      <c r="B851" s="67"/>
      <c r="C851" s="66"/>
      <c r="D851" s="66"/>
      <c r="E851" s="66"/>
      <c r="F851" s="213" t="s">
        <v>201</v>
      </c>
      <c r="G851" s="162">
        <v>609</v>
      </c>
      <c r="H851" s="162">
        <v>1177</v>
      </c>
      <c r="I851" s="64">
        <v>986</v>
      </c>
      <c r="J851" s="64">
        <v>1092</v>
      </c>
      <c r="K851" s="64">
        <v>308.44</v>
      </c>
      <c r="L851" s="64">
        <v>1500</v>
      </c>
      <c r="M851" s="64">
        <v>750</v>
      </c>
      <c r="N851" s="64">
        <v>1500</v>
      </c>
    </row>
    <row r="852" spans="2:14" x14ac:dyDescent="0.2">
      <c r="B852" s="67"/>
      <c r="C852" s="66"/>
      <c r="D852" s="66"/>
      <c r="E852" s="66"/>
      <c r="F852" s="213" t="s">
        <v>226</v>
      </c>
      <c r="G852" s="162">
        <v>5034</v>
      </c>
      <c r="H852" s="162">
        <v>6897</v>
      </c>
      <c r="I852" s="64">
        <v>3438</v>
      </c>
      <c r="J852" s="64">
        <v>7465</v>
      </c>
      <c r="K852" s="64">
        <v>8361.02</v>
      </c>
      <c r="L852" s="64">
        <v>11700</v>
      </c>
      <c r="M852" s="64">
        <v>8600</v>
      </c>
      <c r="N852" s="64">
        <v>15000</v>
      </c>
    </row>
    <row r="853" spans="2:14" x14ac:dyDescent="0.2">
      <c r="B853" s="67"/>
      <c r="C853" s="66"/>
      <c r="D853" s="66"/>
      <c r="E853" s="66"/>
      <c r="F853" s="213" t="s">
        <v>172</v>
      </c>
      <c r="G853" s="162">
        <v>55868</v>
      </c>
      <c r="H853" s="162">
        <v>20823</v>
      </c>
      <c r="I853" s="64">
        <v>75732</v>
      </c>
      <c r="J853" s="64">
        <v>41506</v>
      </c>
      <c r="K853" s="64">
        <v>64042.42</v>
      </c>
      <c r="L853" s="64">
        <v>75000</v>
      </c>
      <c r="M853" s="64">
        <v>25000</v>
      </c>
      <c r="N853" s="64">
        <v>150000</v>
      </c>
    </row>
    <row r="854" spans="2:14" x14ac:dyDescent="0.2">
      <c r="B854" s="67"/>
      <c r="C854" s="66"/>
      <c r="D854" s="66"/>
      <c r="E854" s="66"/>
      <c r="F854" s="213" t="s">
        <v>173</v>
      </c>
      <c r="G854" s="162">
        <v>1158</v>
      </c>
      <c r="H854" s="162">
        <v>3215</v>
      </c>
      <c r="I854" s="64">
        <v>8694</v>
      </c>
      <c r="J854" s="64">
        <v>10762</v>
      </c>
      <c r="K854" s="64">
        <f>90.12+6577+681.25</f>
        <v>7348.37</v>
      </c>
      <c r="L854" s="64">
        <v>8590</v>
      </c>
      <c r="M854" s="64">
        <v>7300</v>
      </c>
      <c r="N854" s="64">
        <v>9590</v>
      </c>
    </row>
    <row r="855" spans="2:14" x14ac:dyDescent="0.2">
      <c r="B855" s="67"/>
      <c r="C855" s="66"/>
      <c r="D855" s="66"/>
      <c r="E855" s="66"/>
      <c r="F855" s="213" t="s">
        <v>181</v>
      </c>
      <c r="G855" s="162">
        <v>0</v>
      </c>
      <c r="H855" s="162">
        <v>0</v>
      </c>
      <c r="I855" s="64">
        <v>0</v>
      </c>
      <c r="J855" s="64">
        <v>109157</v>
      </c>
      <c r="K855" s="64">
        <v>38574.65</v>
      </c>
      <c r="L855" s="64">
        <v>171014</v>
      </c>
      <c r="M855" s="64">
        <v>124904</v>
      </c>
      <c r="N855" s="64">
        <v>237905</v>
      </c>
    </row>
    <row r="856" spans="2:14" x14ac:dyDescent="0.2">
      <c r="B856" s="67"/>
      <c r="C856" s="66"/>
      <c r="D856" s="66"/>
      <c r="E856" s="66"/>
      <c r="F856" s="213" t="s">
        <v>269</v>
      </c>
      <c r="G856" s="162">
        <v>31866</v>
      </c>
      <c r="H856" s="162">
        <v>18327</v>
      </c>
      <c r="I856" s="64">
        <v>95042</v>
      </c>
      <c r="J856" s="64">
        <v>19780</v>
      </c>
      <c r="K856" s="64">
        <v>26811.16</v>
      </c>
      <c r="L856" s="64">
        <v>0</v>
      </c>
      <c r="M856" s="64">
        <v>0</v>
      </c>
      <c r="N856" s="64">
        <v>0</v>
      </c>
    </row>
    <row r="857" spans="2:14" x14ac:dyDescent="0.2">
      <c r="B857" s="67"/>
      <c r="C857" s="66"/>
      <c r="D857" s="66"/>
      <c r="E857" s="66"/>
      <c r="F857" s="213" t="s">
        <v>183</v>
      </c>
      <c r="G857" s="162">
        <v>0</v>
      </c>
      <c r="H857" s="162">
        <v>-21000</v>
      </c>
      <c r="I857" s="64">
        <v>0</v>
      </c>
      <c r="J857" s="64">
        <v>0</v>
      </c>
      <c r="K857" s="64">
        <v>0</v>
      </c>
      <c r="L857" s="64">
        <v>-133000</v>
      </c>
      <c r="M857" s="64">
        <v>-88373</v>
      </c>
      <c r="N857" s="64">
        <v>-140154</v>
      </c>
    </row>
    <row r="858" spans="2:14" x14ac:dyDescent="0.2">
      <c r="B858" s="67"/>
      <c r="C858" s="66"/>
      <c r="D858" s="233" t="s">
        <v>270</v>
      </c>
      <c r="E858" s="234"/>
      <c r="F858" s="234"/>
      <c r="G858" s="74">
        <f t="shared" ref="G858:N858" si="213">G859+G867+G870</f>
        <v>3182364</v>
      </c>
      <c r="H858" s="74">
        <f t="shared" si="213"/>
        <v>1518045</v>
      </c>
      <c r="I858" s="74">
        <f t="shared" si="213"/>
        <v>2884975</v>
      </c>
      <c r="J858" s="74">
        <f t="shared" si="213"/>
        <v>3554021</v>
      </c>
      <c r="K858" s="74">
        <f t="shared" si="213"/>
        <v>4094708.26</v>
      </c>
      <c r="L858" s="74">
        <f t="shared" si="213"/>
        <v>4737946</v>
      </c>
      <c r="M858" s="74">
        <f t="shared" si="213"/>
        <v>4539774</v>
      </c>
      <c r="N858" s="74">
        <f t="shared" si="213"/>
        <v>4813911</v>
      </c>
    </row>
    <row r="859" spans="2:14" x14ac:dyDescent="0.2">
      <c r="B859" s="67"/>
      <c r="C859" s="66"/>
      <c r="D859" s="66"/>
      <c r="E859" s="233" t="s">
        <v>164</v>
      </c>
      <c r="F859" s="233"/>
      <c r="G859" s="75">
        <f t="shared" ref="G859:N859" si="214">SUM(G860:G866)</f>
        <v>2671955</v>
      </c>
      <c r="H859" s="75">
        <f t="shared" si="214"/>
        <v>1311919</v>
      </c>
      <c r="I859" s="75">
        <f t="shared" si="214"/>
        <v>2607811</v>
      </c>
      <c r="J859" s="75">
        <f t="shared" si="214"/>
        <v>3188862</v>
      </c>
      <c r="K859" s="75">
        <f t="shared" si="214"/>
        <v>3610810.23</v>
      </c>
      <c r="L859" s="75">
        <f t="shared" si="214"/>
        <v>4140987</v>
      </c>
      <c r="M859" s="75">
        <f t="shared" si="214"/>
        <v>3974336</v>
      </c>
      <c r="N859" s="75">
        <f t="shared" si="214"/>
        <v>4276770</v>
      </c>
    </row>
    <row r="860" spans="2:14" x14ac:dyDescent="0.2">
      <c r="B860" s="67"/>
      <c r="C860" s="66"/>
      <c r="D860" s="66"/>
      <c r="E860" s="66"/>
      <c r="F860" s="213" t="s">
        <v>165</v>
      </c>
      <c r="G860" s="162">
        <v>1121959</v>
      </c>
      <c r="H860" s="162">
        <v>888133</v>
      </c>
      <c r="I860" s="64">
        <v>1074407</v>
      </c>
      <c r="J860" s="64">
        <v>1370765</v>
      </c>
      <c r="K860" s="64">
        <v>1392098.68</v>
      </c>
      <c r="L860" s="64">
        <v>1708090</v>
      </c>
      <c r="M860" s="64">
        <v>1511290</v>
      </c>
      <c r="N860" s="64">
        <v>1716380</v>
      </c>
    </row>
    <row r="861" spans="2:14" x14ac:dyDescent="0.2">
      <c r="B861" s="67"/>
      <c r="C861" s="66"/>
      <c r="D861" s="66"/>
      <c r="E861" s="66"/>
      <c r="F861" s="213" t="s">
        <v>233</v>
      </c>
      <c r="G861" s="162">
        <v>235695</v>
      </c>
      <c r="H861" s="162">
        <v>145551</v>
      </c>
      <c r="I861" s="64">
        <v>245295</v>
      </c>
      <c r="J861" s="64">
        <v>252672</v>
      </c>
      <c r="K861" s="64">
        <v>364577.21</v>
      </c>
      <c r="L861" s="64">
        <v>400813</v>
      </c>
      <c r="M861" s="64">
        <v>415893</v>
      </c>
      <c r="N861" s="64">
        <v>404750</v>
      </c>
    </row>
    <row r="862" spans="2:14" x14ac:dyDescent="0.2">
      <c r="B862" s="67"/>
      <c r="C862" s="66"/>
      <c r="D862" s="66"/>
      <c r="E862" s="66"/>
      <c r="F862" s="213" t="s">
        <v>166</v>
      </c>
      <c r="G862" s="162">
        <v>1246955</v>
      </c>
      <c r="H862" s="162">
        <v>245656</v>
      </c>
      <c r="I862" s="64">
        <v>1173842</v>
      </c>
      <c r="J862" s="64">
        <v>1424827</v>
      </c>
      <c r="K862" s="64">
        <v>1696877.81</v>
      </c>
      <c r="L862" s="64">
        <v>1872384</v>
      </c>
      <c r="M862" s="64">
        <v>1898307</v>
      </c>
      <c r="N862" s="64">
        <v>2003040</v>
      </c>
    </row>
    <row r="863" spans="2:14" x14ac:dyDescent="0.2">
      <c r="B863" s="67"/>
      <c r="C863" s="66"/>
      <c r="D863" s="66"/>
      <c r="E863" s="66"/>
      <c r="F863" s="213" t="s">
        <v>190</v>
      </c>
      <c r="G863" s="162">
        <v>47706</v>
      </c>
      <c r="H863" s="162">
        <v>16046</v>
      </c>
      <c r="I863" s="64">
        <v>92811</v>
      </c>
      <c r="J863" s="64">
        <v>119156</v>
      </c>
      <c r="K863" s="64">
        <v>124012.98</v>
      </c>
      <c r="L863" s="64">
        <v>130000</v>
      </c>
      <c r="M863" s="64">
        <v>127646</v>
      </c>
      <c r="N863" s="64">
        <v>130000</v>
      </c>
    </row>
    <row r="864" spans="2:14" x14ac:dyDescent="0.2">
      <c r="B864" s="67"/>
      <c r="C864" s="66"/>
      <c r="D864" s="66"/>
      <c r="E864" s="66"/>
      <c r="F864" s="213" t="s">
        <v>198</v>
      </c>
      <c r="G864" s="162">
        <v>17567</v>
      </c>
      <c r="H864" s="162">
        <v>16070</v>
      </c>
      <c r="I864" s="64">
        <v>19900</v>
      </c>
      <c r="J864" s="64">
        <v>19900</v>
      </c>
      <c r="K864" s="64">
        <v>28581.78</v>
      </c>
      <c r="L864" s="64">
        <v>27500</v>
      </c>
      <c r="M864" s="64">
        <v>20900</v>
      </c>
      <c r="N864" s="64">
        <v>22000</v>
      </c>
    </row>
    <row r="865" spans="2:14" x14ac:dyDescent="0.2">
      <c r="B865" s="67"/>
      <c r="C865" s="66"/>
      <c r="D865" s="66"/>
      <c r="E865" s="66"/>
      <c r="F865" s="213" t="s">
        <v>234</v>
      </c>
      <c r="G865" s="162">
        <v>564</v>
      </c>
      <c r="H865" s="162">
        <v>463</v>
      </c>
      <c r="I865" s="64">
        <v>404</v>
      </c>
      <c r="J865" s="64">
        <v>481</v>
      </c>
      <c r="K865" s="64">
        <v>282.67</v>
      </c>
      <c r="L865" s="64">
        <v>600</v>
      </c>
      <c r="M865" s="64">
        <v>300</v>
      </c>
      <c r="N865" s="64">
        <v>600</v>
      </c>
    </row>
    <row r="866" spans="2:14" x14ac:dyDescent="0.2">
      <c r="B866" s="67"/>
      <c r="C866" s="66"/>
      <c r="D866" s="66"/>
      <c r="E866" s="66"/>
      <c r="F866" s="213" t="s">
        <v>178</v>
      </c>
      <c r="G866" s="162">
        <v>1509</v>
      </c>
      <c r="H866" s="162">
        <v>0</v>
      </c>
      <c r="I866" s="64">
        <v>1152</v>
      </c>
      <c r="J866" s="64">
        <v>1061</v>
      </c>
      <c r="K866" s="64">
        <v>4379.1000000000004</v>
      </c>
      <c r="L866" s="64">
        <v>1600</v>
      </c>
      <c r="M866" s="64">
        <v>0</v>
      </c>
      <c r="N866" s="64">
        <v>0</v>
      </c>
    </row>
    <row r="867" spans="2:14" x14ac:dyDescent="0.2">
      <c r="B867" s="67"/>
      <c r="C867" s="66"/>
      <c r="D867" s="66"/>
      <c r="E867" s="235" t="s">
        <v>167</v>
      </c>
      <c r="F867" s="235"/>
      <c r="G867" s="65">
        <f>SUM(G868:G869)</f>
        <v>14175</v>
      </c>
      <c r="H867" s="65">
        <f t="shared" ref="H867:N867" si="215">SUM(H868:H869)</f>
        <v>0</v>
      </c>
      <c r="I867" s="65">
        <f t="shared" si="215"/>
        <v>34937</v>
      </c>
      <c r="J867" s="65">
        <f t="shared" si="215"/>
        <v>0</v>
      </c>
      <c r="K867" s="65">
        <f t="shared" si="215"/>
        <v>0</v>
      </c>
      <c r="L867" s="65">
        <f t="shared" si="215"/>
        <v>0</v>
      </c>
      <c r="M867" s="65">
        <f t="shared" si="215"/>
        <v>0</v>
      </c>
      <c r="N867" s="65">
        <f t="shared" si="215"/>
        <v>0</v>
      </c>
    </row>
    <row r="868" spans="2:14" x14ac:dyDescent="0.2">
      <c r="B868" s="67"/>
      <c r="C868" s="66"/>
      <c r="D868" s="66"/>
      <c r="E868" s="66"/>
      <c r="F868" s="213" t="s">
        <v>168</v>
      </c>
      <c r="G868" s="162">
        <v>14175</v>
      </c>
      <c r="H868" s="162">
        <v>0</v>
      </c>
      <c r="I868" s="70">
        <v>34937</v>
      </c>
      <c r="J868" s="70">
        <v>0</v>
      </c>
      <c r="K868" s="70">
        <v>0</v>
      </c>
      <c r="L868" s="70">
        <v>0</v>
      </c>
      <c r="M868" s="64">
        <v>0</v>
      </c>
      <c r="N868" s="64">
        <v>0</v>
      </c>
    </row>
    <row r="869" spans="2:14" x14ac:dyDescent="0.2">
      <c r="B869" s="67"/>
      <c r="C869" s="66"/>
      <c r="D869" s="66"/>
      <c r="E869" s="66"/>
      <c r="F869" s="214" t="s">
        <v>200</v>
      </c>
      <c r="G869" s="162">
        <v>0</v>
      </c>
      <c r="H869" s="162">
        <v>0</v>
      </c>
      <c r="I869" s="162">
        <v>0</v>
      </c>
      <c r="J869" s="162">
        <v>0</v>
      </c>
      <c r="K869" s="162">
        <v>0</v>
      </c>
      <c r="L869" s="162">
        <v>0</v>
      </c>
      <c r="M869" s="162">
        <v>0</v>
      </c>
      <c r="N869" s="162">
        <v>0</v>
      </c>
    </row>
    <row r="870" spans="2:14" x14ac:dyDescent="0.2">
      <c r="B870" s="67"/>
      <c r="C870" s="66"/>
      <c r="D870" s="66"/>
      <c r="E870" s="235" t="s">
        <v>256</v>
      </c>
      <c r="F870" s="235"/>
      <c r="G870" s="71">
        <f>SUM(G871:G876)</f>
        <v>496234</v>
      </c>
      <c r="H870" s="71">
        <f t="shared" ref="H870:N870" si="216">SUM(H871:H876)</f>
        <v>206126</v>
      </c>
      <c r="I870" s="71">
        <f t="shared" si="216"/>
        <v>242227</v>
      </c>
      <c r="J870" s="71">
        <f t="shared" si="216"/>
        <v>365159</v>
      </c>
      <c r="K870" s="71">
        <f t="shared" si="216"/>
        <v>483898.03</v>
      </c>
      <c r="L870" s="71">
        <f t="shared" si="216"/>
        <v>596959</v>
      </c>
      <c r="M870" s="71">
        <f t="shared" si="216"/>
        <v>565438</v>
      </c>
      <c r="N870" s="71">
        <f t="shared" si="216"/>
        <v>537141</v>
      </c>
    </row>
    <row r="871" spans="2:14" x14ac:dyDescent="0.2">
      <c r="B871" s="67"/>
      <c r="C871" s="66"/>
      <c r="D871" s="66"/>
      <c r="E871" s="211"/>
      <c r="F871" s="213" t="s">
        <v>170</v>
      </c>
      <c r="G871" s="64">
        <v>233</v>
      </c>
      <c r="H871" s="64">
        <v>0</v>
      </c>
      <c r="I871" s="64">
        <v>0</v>
      </c>
      <c r="J871" s="64">
        <v>0</v>
      </c>
      <c r="K871" s="64">
        <v>0</v>
      </c>
      <c r="L871" s="64">
        <v>0</v>
      </c>
      <c r="M871" s="64">
        <v>0</v>
      </c>
      <c r="N871" s="64">
        <v>0</v>
      </c>
    </row>
    <row r="872" spans="2:14" x14ac:dyDescent="0.2">
      <c r="B872" s="67"/>
      <c r="C872" s="66"/>
      <c r="D872" s="66"/>
      <c r="E872" s="66"/>
      <c r="F872" s="213" t="s">
        <v>171</v>
      </c>
      <c r="G872" s="162">
        <v>146021</v>
      </c>
      <c r="H872" s="162">
        <v>70941</v>
      </c>
      <c r="I872" s="64">
        <v>152179</v>
      </c>
      <c r="J872" s="64">
        <v>201226</v>
      </c>
      <c r="K872" s="64">
        <f>204.25+345.48+1425+9576.09+40073.96+12417.5+67048.28+70678.89+78113.46</f>
        <v>279882.91000000003</v>
      </c>
      <c r="L872" s="64">
        <v>284884</v>
      </c>
      <c r="M872" s="64">
        <v>244450</v>
      </c>
      <c r="N872" s="64">
        <v>278860</v>
      </c>
    </row>
    <row r="873" spans="2:14" x14ac:dyDescent="0.2">
      <c r="B873" s="67"/>
      <c r="C873" s="66"/>
      <c r="D873" s="66"/>
      <c r="E873" s="66"/>
      <c r="F873" s="213" t="s">
        <v>188</v>
      </c>
      <c r="G873" s="162">
        <v>1710</v>
      </c>
      <c r="H873" s="162">
        <v>1790</v>
      </c>
      <c r="I873" s="64">
        <v>2049</v>
      </c>
      <c r="J873" s="64">
        <v>2075</v>
      </c>
      <c r="K873" s="64">
        <v>2191.19</v>
      </c>
      <c r="L873" s="64">
        <v>0</v>
      </c>
      <c r="M873" s="64">
        <v>0</v>
      </c>
      <c r="N873" s="64">
        <v>0</v>
      </c>
    </row>
    <row r="874" spans="2:14" x14ac:dyDescent="0.2">
      <c r="B874" s="67"/>
      <c r="C874" s="66"/>
      <c r="D874" s="66"/>
      <c r="E874" s="66"/>
      <c r="F874" s="213" t="s">
        <v>172</v>
      </c>
      <c r="G874" s="162">
        <v>344484</v>
      </c>
      <c r="H874" s="162">
        <v>131850</v>
      </c>
      <c r="I874" s="64">
        <v>79834</v>
      </c>
      <c r="J874" s="64">
        <v>154361</v>
      </c>
      <c r="K874" s="64">
        <v>195123.93</v>
      </c>
      <c r="L874" s="64">
        <v>257075</v>
      </c>
      <c r="M874" s="64">
        <v>230629</v>
      </c>
      <c r="N874" s="64">
        <v>159925</v>
      </c>
    </row>
    <row r="875" spans="2:14" x14ac:dyDescent="0.2">
      <c r="B875" s="67"/>
      <c r="C875" s="66"/>
      <c r="D875" s="66"/>
      <c r="E875" s="66"/>
      <c r="F875" s="213" t="s">
        <v>173</v>
      </c>
      <c r="G875" s="162">
        <v>3786</v>
      </c>
      <c r="H875" s="162">
        <v>1545</v>
      </c>
      <c r="I875" s="64">
        <v>8165</v>
      </c>
      <c r="J875" s="64">
        <v>7497</v>
      </c>
      <c r="K875" s="64">
        <f>356.94+5983.06+360</f>
        <v>6700</v>
      </c>
      <c r="L875" s="64">
        <v>7000</v>
      </c>
      <c r="M875" s="64">
        <v>1921</v>
      </c>
      <c r="N875" s="64">
        <v>7000</v>
      </c>
    </row>
    <row r="876" spans="2:14" x14ac:dyDescent="0.2">
      <c r="B876" s="67"/>
      <c r="C876" s="66"/>
      <c r="D876" s="66"/>
      <c r="E876" s="66"/>
      <c r="F876" s="213" t="s">
        <v>181</v>
      </c>
      <c r="G876" s="162">
        <v>0</v>
      </c>
      <c r="H876" s="162">
        <v>0</v>
      </c>
      <c r="I876" s="64">
        <v>0</v>
      </c>
      <c r="J876" s="64">
        <v>0</v>
      </c>
      <c r="K876" s="64">
        <v>0</v>
      </c>
      <c r="L876" s="64">
        <v>48000</v>
      </c>
      <c r="M876" s="64">
        <v>88438</v>
      </c>
      <c r="N876" s="64">
        <v>91356</v>
      </c>
    </row>
    <row r="877" spans="2:14" x14ac:dyDescent="0.2">
      <c r="B877" s="67"/>
      <c r="C877" s="66"/>
      <c r="D877" s="232" t="s">
        <v>271</v>
      </c>
      <c r="E877" s="239"/>
      <c r="F877" s="239"/>
      <c r="G877" s="74">
        <f t="shared" ref="G877:N877" si="217">G878+G881</f>
        <v>330896</v>
      </c>
      <c r="H877" s="74">
        <f t="shared" si="217"/>
        <v>114086</v>
      </c>
      <c r="I877" s="74">
        <f t="shared" si="217"/>
        <v>88478</v>
      </c>
      <c r="J877" s="74">
        <f t="shared" si="217"/>
        <v>89724</v>
      </c>
      <c r="K877" s="74">
        <f t="shared" si="217"/>
        <v>286824.37</v>
      </c>
      <c r="L877" s="74">
        <f t="shared" si="217"/>
        <v>555480</v>
      </c>
      <c r="M877" s="74">
        <f t="shared" si="217"/>
        <v>438213</v>
      </c>
      <c r="N877" s="74">
        <f t="shared" si="217"/>
        <v>530912</v>
      </c>
    </row>
    <row r="878" spans="2:14" x14ac:dyDescent="0.2">
      <c r="B878" s="67"/>
      <c r="C878" s="66"/>
      <c r="D878" s="66"/>
      <c r="E878" s="232" t="s">
        <v>164</v>
      </c>
      <c r="F878" s="232"/>
      <c r="G878" s="73">
        <f t="shared" ref="G878:N878" si="218">SUM(G879:G880)</f>
        <v>257319</v>
      </c>
      <c r="H878" s="73">
        <f t="shared" si="218"/>
        <v>0</v>
      </c>
      <c r="I878" s="73">
        <f t="shared" si="218"/>
        <v>0</v>
      </c>
      <c r="J878" s="73">
        <f t="shared" si="218"/>
        <v>0</v>
      </c>
      <c r="K878" s="73">
        <f t="shared" si="218"/>
        <v>182784.25999999998</v>
      </c>
      <c r="L878" s="73">
        <f t="shared" si="218"/>
        <v>352480</v>
      </c>
      <c r="M878" s="73">
        <f t="shared" si="218"/>
        <v>312713</v>
      </c>
      <c r="N878" s="73">
        <f t="shared" si="218"/>
        <v>327912</v>
      </c>
    </row>
    <row r="879" spans="2:14" x14ac:dyDescent="0.2">
      <c r="B879" s="67"/>
      <c r="C879" s="66"/>
      <c r="D879" s="66"/>
      <c r="E879" s="66"/>
      <c r="F879" s="213" t="s">
        <v>165</v>
      </c>
      <c r="G879" s="162">
        <v>247115</v>
      </c>
      <c r="H879" s="162">
        <v>0</v>
      </c>
      <c r="I879" s="64">
        <v>0</v>
      </c>
      <c r="J879" s="64">
        <v>0</v>
      </c>
      <c r="K879" s="64">
        <v>179729.4</v>
      </c>
      <c r="L879" s="64">
        <v>342480</v>
      </c>
      <c r="M879" s="64">
        <v>304213</v>
      </c>
      <c r="N879" s="64">
        <v>317912</v>
      </c>
    </row>
    <row r="880" spans="2:14" x14ac:dyDescent="0.2">
      <c r="B880" s="67"/>
      <c r="C880" s="66"/>
      <c r="D880" s="66"/>
      <c r="E880" s="66"/>
      <c r="F880" s="213" t="s">
        <v>190</v>
      </c>
      <c r="G880" s="162">
        <v>10204</v>
      </c>
      <c r="H880" s="162">
        <v>0</v>
      </c>
      <c r="I880" s="64">
        <v>0</v>
      </c>
      <c r="J880" s="64">
        <v>0</v>
      </c>
      <c r="K880" s="64">
        <v>3054.86</v>
      </c>
      <c r="L880" s="64">
        <v>10000</v>
      </c>
      <c r="M880" s="64">
        <v>8500</v>
      </c>
      <c r="N880" s="64">
        <v>10000</v>
      </c>
    </row>
    <row r="881" spans="2:14" x14ac:dyDescent="0.2">
      <c r="B881" s="67"/>
      <c r="C881" s="66"/>
      <c r="D881" s="66"/>
      <c r="E881" s="235" t="s">
        <v>175</v>
      </c>
      <c r="F881" s="235"/>
      <c r="G881" s="68">
        <f>SUM(G882:G884)</f>
        <v>73577</v>
      </c>
      <c r="H881" s="68">
        <f t="shared" ref="H881:N881" si="219">SUM(H882:H884)</f>
        <v>114086</v>
      </c>
      <c r="I881" s="68">
        <f t="shared" si="219"/>
        <v>88478</v>
      </c>
      <c r="J881" s="68">
        <f t="shared" si="219"/>
        <v>89724</v>
      </c>
      <c r="K881" s="68">
        <f t="shared" si="219"/>
        <v>104040.11</v>
      </c>
      <c r="L881" s="68">
        <f t="shared" si="219"/>
        <v>203000</v>
      </c>
      <c r="M881" s="68">
        <f t="shared" si="219"/>
        <v>125500</v>
      </c>
      <c r="N881" s="68">
        <f t="shared" si="219"/>
        <v>203000</v>
      </c>
    </row>
    <row r="882" spans="2:14" x14ac:dyDescent="0.2">
      <c r="B882" s="67"/>
      <c r="C882" s="66"/>
      <c r="D882" s="66"/>
      <c r="E882" s="66"/>
      <c r="F882" s="213" t="s">
        <v>171</v>
      </c>
      <c r="G882" s="162">
        <v>3866</v>
      </c>
      <c r="H882" s="162">
        <v>0</v>
      </c>
      <c r="I882" s="64">
        <v>0</v>
      </c>
      <c r="J882" s="64">
        <v>0</v>
      </c>
      <c r="K882" s="64">
        <v>4224.21</v>
      </c>
      <c r="L882" s="64">
        <v>20000</v>
      </c>
      <c r="M882" s="64">
        <v>8500</v>
      </c>
      <c r="N882" s="64">
        <v>20000</v>
      </c>
    </row>
    <row r="883" spans="2:14" x14ac:dyDescent="0.2">
      <c r="B883" s="67"/>
      <c r="C883" s="66"/>
      <c r="D883" s="66"/>
      <c r="E883" s="66"/>
      <c r="F883" s="213" t="s">
        <v>226</v>
      </c>
      <c r="G883" s="162">
        <v>2662</v>
      </c>
      <c r="H883" s="162">
        <v>0</v>
      </c>
      <c r="I883" s="162">
        <v>0</v>
      </c>
      <c r="J883" s="162">
        <v>0</v>
      </c>
      <c r="K883" s="162">
        <v>0</v>
      </c>
      <c r="L883" s="162">
        <v>0</v>
      </c>
      <c r="M883" s="64">
        <v>0</v>
      </c>
      <c r="N883" s="64">
        <v>0</v>
      </c>
    </row>
    <row r="884" spans="2:14" ht="13.5" thickBot="1" x14ac:dyDescent="0.25">
      <c r="B884" s="171"/>
      <c r="C884" s="172"/>
      <c r="D884" s="172"/>
      <c r="E884" s="172"/>
      <c r="F884" s="173" t="s">
        <v>172</v>
      </c>
      <c r="G884" s="174">
        <v>67049</v>
      </c>
      <c r="H884" s="174">
        <v>114086</v>
      </c>
      <c r="I884" s="175">
        <v>88478</v>
      </c>
      <c r="J884" s="175">
        <v>89724</v>
      </c>
      <c r="K884" s="175">
        <v>99815.9</v>
      </c>
      <c r="L884" s="175">
        <v>183000</v>
      </c>
      <c r="M884" s="175">
        <v>117000</v>
      </c>
      <c r="N884" s="175">
        <v>183000</v>
      </c>
    </row>
    <row r="885" spans="2:14" x14ac:dyDescent="0.2">
      <c r="B885" s="244" t="s">
        <v>272</v>
      </c>
      <c r="C885" s="244"/>
      <c r="D885" s="244"/>
      <c r="E885" s="244"/>
      <c r="F885" s="244"/>
      <c r="G885" s="170">
        <f t="shared" ref="G885:N885" si="220">SUM(G886:G946)</f>
        <v>78319425</v>
      </c>
      <c r="H885" s="170">
        <f t="shared" si="220"/>
        <v>85280490</v>
      </c>
      <c r="I885" s="170">
        <f t="shared" si="220"/>
        <v>87635408</v>
      </c>
      <c r="J885" s="170">
        <f t="shared" si="220"/>
        <v>97351453</v>
      </c>
      <c r="K885" s="170">
        <f t="shared" si="220"/>
        <v>91387230.009999976</v>
      </c>
      <c r="L885" s="170">
        <f t="shared" si="220"/>
        <v>114217938</v>
      </c>
      <c r="M885" s="170">
        <f t="shared" si="220"/>
        <v>119751369</v>
      </c>
      <c r="N885" s="170">
        <f t="shared" si="220"/>
        <v>116142222</v>
      </c>
    </row>
    <row r="886" spans="2:14" x14ac:dyDescent="0.2">
      <c r="B886" s="67"/>
      <c r="C886" s="67"/>
      <c r="D886" s="66"/>
      <c r="E886" s="66"/>
      <c r="F886" s="72" t="s">
        <v>273</v>
      </c>
      <c r="G886" s="162">
        <v>529716</v>
      </c>
      <c r="H886" s="162">
        <v>34085</v>
      </c>
      <c r="I886" s="64">
        <v>278917</v>
      </c>
      <c r="J886" s="64">
        <v>594623</v>
      </c>
      <c r="K886" s="64">
        <v>630367.75</v>
      </c>
      <c r="L886" s="62">
        <v>772500</v>
      </c>
      <c r="M886" s="62">
        <v>703406</v>
      </c>
      <c r="N886" s="62">
        <v>750000</v>
      </c>
    </row>
    <row r="887" spans="2:14" x14ac:dyDescent="0.2">
      <c r="B887" s="67"/>
      <c r="C887" s="67"/>
      <c r="D887" s="66"/>
      <c r="E887" s="66"/>
      <c r="F887" s="72" t="s">
        <v>274</v>
      </c>
      <c r="G887" s="162">
        <v>193323</v>
      </c>
      <c r="H887" s="162">
        <v>172063</v>
      </c>
      <c r="I887" s="64">
        <v>169985</v>
      </c>
      <c r="J887" s="64">
        <v>141400</v>
      </c>
      <c r="K887" s="64">
        <v>126600.11</v>
      </c>
      <c r="L887" s="62">
        <v>200000</v>
      </c>
      <c r="M887" s="62">
        <v>150800</v>
      </c>
      <c r="N887" s="62">
        <v>185000</v>
      </c>
    </row>
    <row r="888" spans="2:14" x14ac:dyDescent="0.2">
      <c r="B888" s="67"/>
      <c r="C888" s="67"/>
      <c r="D888" s="66"/>
      <c r="E888" s="66"/>
      <c r="F888" s="72" t="s">
        <v>275</v>
      </c>
      <c r="G888" s="162">
        <v>358151</v>
      </c>
      <c r="H888" s="162">
        <v>212528</v>
      </c>
      <c r="I888" s="64">
        <v>347494</v>
      </c>
      <c r="J888" s="64">
        <v>634720</v>
      </c>
      <c r="K888" s="64">
        <f>376892.52</f>
        <v>376892.52</v>
      </c>
      <c r="L888" s="62">
        <v>515000</v>
      </c>
      <c r="M888" s="62">
        <v>411555</v>
      </c>
      <c r="N888" s="62">
        <v>500000</v>
      </c>
    </row>
    <row r="889" spans="2:14" x14ac:dyDescent="0.2">
      <c r="B889" s="67"/>
      <c r="C889" s="67"/>
      <c r="D889" s="66"/>
      <c r="E889" s="66"/>
      <c r="F889" s="72" t="s">
        <v>276</v>
      </c>
      <c r="G889" s="162">
        <v>158087</v>
      </c>
      <c r="H889" s="162">
        <v>287202</v>
      </c>
      <c r="I889" s="64">
        <v>209037</v>
      </c>
      <c r="J889" s="64">
        <v>293236</v>
      </c>
      <c r="K889" s="64">
        <v>334141.38</v>
      </c>
      <c r="L889" s="62">
        <v>280000</v>
      </c>
      <c r="M889" s="62">
        <v>306240</v>
      </c>
      <c r="N889" s="62">
        <v>310240</v>
      </c>
    </row>
    <row r="890" spans="2:14" x14ac:dyDescent="0.2">
      <c r="B890" s="67"/>
      <c r="C890" s="67"/>
      <c r="D890" s="66"/>
      <c r="E890" s="66"/>
      <c r="F890" s="72" t="s">
        <v>277</v>
      </c>
      <c r="G890" s="162">
        <v>7495</v>
      </c>
      <c r="H890" s="162">
        <v>8675</v>
      </c>
      <c r="I890" s="64">
        <v>6260</v>
      </c>
      <c r="J890" s="64">
        <v>0</v>
      </c>
      <c r="K890" s="64">
        <v>0</v>
      </c>
      <c r="L890" s="62">
        <v>20000</v>
      </c>
      <c r="M890" s="62">
        <v>5000</v>
      </c>
      <c r="N890" s="62">
        <v>20000</v>
      </c>
    </row>
    <row r="891" spans="2:14" x14ac:dyDescent="0.2">
      <c r="B891" s="67"/>
      <c r="C891" s="67"/>
      <c r="D891" s="66"/>
      <c r="E891" s="66"/>
      <c r="F891" s="72" t="s">
        <v>278</v>
      </c>
      <c r="G891" s="162">
        <v>83296</v>
      </c>
      <c r="H891" s="162">
        <v>98473</v>
      </c>
      <c r="I891" s="64">
        <v>161383</v>
      </c>
      <c r="J891" s="64">
        <v>173954</v>
      </c>
      <c r="K891" s="64">
        <v>89096.07</v>
      </c>
      <c r="L891" s="62">
        <v>260800</v>
      </c>
      <c r="M891" s="62">
        <v>168951</v>
      </c>
      <c r="N891" s="62">
        <v>260800</v>
      </c>
    </row>
    <row r="892" spans="2:14" x14ac:dyDescent="0.2">
      <c r="B892" s="67"/>
      <c r="C892" s="67"/>
      <c r="D892" s="66"/>
      <c r="E892" s="66"/>
      <c r="F892" s="72" t="s">
        <v>279</v>
      </c>
      <c r="G892" s="162">
        <v>27400</v>
      </c>
      <c r="H892" s="162">
        <v>25060</v>
      </c>
      <c r="I892" s="64">
        <v>15879</v>
      </c>
      <c r="J892" s="64">
        <v>29651</v>
      </c>
      <c r="K892" s="64">
        <v>30761.5</v>
      </c>
      <c r="L892" s="62">
        <v>31000</v>
      </c>
      <c r="M892" s="62">
        <v>31064</v>
      </c>
      <c r="N892" s="62">
        <v>31064</v>
      </c>
    </row>
    <row r="893" spans="2:14" x14ac:dyDescent="0.2">
      <c r="B893" s="67"/>
      <c r="C893" s="67"/>
      <c r="D893" s="66"/>
      <c r="E893" s="66"/>
      <c r="F893" s="72" t="s">
        <v>280</v>
      </c>
      <c r="G893" s="162">
        <v>197938</v>
      </c>
      <c r="H893" s="162">
        <v>196871</v>
      </c>
      <c r="I893" s="64">
        <v>199392</v>
      </c>
      <c r="J893" s="64">
        <v>198031</v>
      </c>
      <c r="K893" s="64">
        <v>0</v>
      </c>
      <c r="L893" s="62">
        <v>0</v>
      </c>
      <c r="M893" s="62">
        <v>0</v>
      </c>
      <c r="N893" s="62">
        <v>0</v>
      </c>
    </row>
    <row r="894" spans="2:14" x14ac:dyDescent="0.2">
      <c r="B894" s="67"/>
      <c r="C894" s="67"/>
      <c r="D894" s="66"/>
      <c r="E894" s="66"/>
      <c r="F894" s="72" t="s">
        <v>281</v>
      </c>
      <c r="G894" s="162">
        <v>339</v>
      </c>
      <c r="H894" s="162">
        <v>0</v>
      </c>
      <c r="I894" s="64">
        <v>0</v>
      </c>
      <c r="J894" s="64">
        <v>0</v>
      </c>
      <c r="K894" s="64">
        <v>92947.83</v>
      </c>
      <c r="L894" s="62">
        <v>51500</v>
      </c>
      <c r="M894" s="62">
        <v>0</v>
      </c>
      <c r="N894" s="62">
        <v>50000</v>
      </c>
    </row>
    <row r="895" spans="2:14" x14ac:dyDescent="0.2">
      <c r="B895" s="67"/>
      <c r="C895" s="67"/>
      <c r="D895" s="66"/>
      <c r="E895" s="66"/>
      <c r="F895" s="72" t="s">
        <v>282</v>
      </c>
      <c r="G895" s="162">
        <v>0</v>
      </c>
      <c r="H895" s="162">
        <v>0</v>
      </c>
      <c r="I895" s="64">
        <v>0</v>
      </c>
      <c r="J895" s="64">
        <v>0</v>
      </c>
      <c r="K895" s="64">
        <v>0</v>
      </c>
      <c r="L895" s="62">
        <v>0</v>
      </c>
      <c r="M895" s="62">
        <v>0</v>
      </c>
      <c r="N895" s="62">
        <v>0</v>
      </c>
    </row>
    <row r="896" spans="2:14" x14ac:dyDescent="0.2">
      <c r="B896" s="67"/>
      <c r="C896" s="67"/>
      <c r="D896" s="66"/>
      <c r="E896" s="66"/>
      <c r="F896" s="72" t="s">
        <v>283</v>
      </c>
      <c r="G896" s="162">
        <v>355652</v>
      </c>
      <c r="H896" s="162">
        <v>255691</v>
      </c>
      <c r="I896" s="64">
        <v>334316</v>
      </c>
      <c r="J896" s="64">
        <v>339304</v>
      </c>
      <c r="K896" s="64">
        <v>305866</v>
      </c>
      <c r="L896" s="62">
        <v>365650</v>
      </c>
      <c r="M896" s="62">
        <v>363214</v>
      </c>
      <c r="N896" s="62">
        <v>370000</v>
      </c>
    </row>
    <row r="897" spans="2:14" x14ac:dyDescent="0.2">
      <c r="B897" s="67"/>
      <c r="C897" s="67"/>
      <c r="D897" s="66"/>
      <c r="E897" s="66"/>
      <c r="F897" s="72" t="s">
        <v>284</v>
      </c>
      <c r="G897" s="162">
        <v>142112</v>
      </c>
      <c r="H897" s="162">
        <v>266710</v>
      </c>
      <c r="I897" s="64">
        <v>77949</v>
      </c>
      <c r="J897" s="64">
        <v>110836</v>
      </c>
      <c r="K897" s="64">
        <v>50151.65</v>
      </c>
      <c r="L897" s="62">
        <v>57194</v>
      </c>
      <c r="M897" s="62">
        <v>67826</v>
      </c>
      <c r="N897" s="62">
        <v>70000</v>
      </c>
    </row>
    <row r="898" spans="2:14" x14ac:dyDescent="0.2">
      <c r="B898" s="67"/>
      <c r="C898" s="67"/>
      <c r="D898" s="66"/>
      <c r="E898" s="66"/>
      <c r="F898" s="72" t="s">
        <v>285</v>
      </c>
      <c r="G898" s="162">
        <v>123000</v>
      </c>
      <c r="H898" s="162">
        <v>123000</v>
      </c>
      <c r="I898" s="64">
        <v>137850</v>
      </c>
      <c r="J898" s="64">
        <v>136450</v>
      </c>
      <c r="K898" s="64">
        <v>137000</v>
      </c>
      <c r="L898" s="62">
        <v>144200</v>
      </c>
      <c r="M898" s="62">
        <v>144000</v>
      </c>
      <c r="N898" s="62">
        <v>144000</v>
      </c>
    </row>
    <row r="899" spans="2:14" x14ac:dyDescent="0.2">
      <c r="B899" s="67"/>
      <c r="C899" s="67"/>
      <c r="D899" s="66"/>
      <c r="E899" s="66"/>
      <c r="F899" s="72" t="s">
        <v>286</v>
      </c>
      <c r="G899" s="162">
        <v>69135</v>
      </c>
      <c r="H899" s="162">
        <v>43995</v>
      </c>
      <c r="I899" s="64">
        <v>11914</v>
      </c>
      <c r="J899" s="64">
        <v>0</v>
      </c>
      <c r="K899" s="64">
        <v>0</v>
      </c>
      <c r="L899" s="62">
        <v>51500</v>
      </c>
      <c r="M899" s="62">
        <v>0</v>
      </c>
      <c r="N899" s="62">
        <v>51500</v>
      </c>
    </row>
    <row r="900" spans="2:14" x14ac:dyDescent="0.2">
      <c r="B900" s="67"/>
      <c r="C900" s="67"/>
      <c r="D900" s="66"/>
      <c r="E900" s="66"/>
      <c r="F900" s="72" t="s">
        <v>287</v>
      </c>
      <c r="G900" s="162">
        <v>27481</v>
      </c>
      <c r="H900" s="162">
        <v>11138</v>
      </c>
      <c r="I900" s="64">
        <v>0</v>
      </c>
      <c r="J900" s="64">
        <v>0</v>
      </c>
      <c r="K900" s="64">
        <v>9018</v>
      </c>
      <c r="L900" s="62">
        <v>50000</v>
      </c>
      <c r="M900" s="62">
        <v>10000</v>
      </c>
      <c r="N900" s="62">
        <v>30000</v>
      </c>
    </row>
    <row r="901" spans="2:14" x14ac:dyDescent="0.2">
      <c r="B901" s="67"/>
      <c r="C901" s="67"/>
      <c r="D901" s="66"/>
      <c r="E901" s="66"/>
      <c r="F901" s="72" t="s">
        <v>288</v>
      </c>
      <c r="G901" s="162">
        <v>5500</v>
      </c>
      <c r="H901" s="162">
        <v>0</v>
      </c>
      <c r="I901" s="64">
        <v>0</v>
      </c>
      <c r="J901" s="64">
        <v>0</v>
      </c>
      <c r="K901" s="64">
        <v>0</v>
      </c>
      <c r="L901" s="62">
        <v>23800</v>
      </c>
      <c r="M901" s="62">
        <v>5000</v>
      </c>
      <c r="N901" s="62">
        <v>23800</v>
      </c>
    </row>
    <row r="902" spans="2:14" x14ac:dyDescent="0.2">
      <c r="B902" s="67"/>
      <c r="C902" s="67"/>
      <c r="D902" s="66"/>
      <c r="E902" s="66"/>
      <c r="F902" s="72" t="s">
        <v>289</v>
      </c>
      <c r="G902" s="162">
        <v>5641</v>
      </c>
      <c r="H902" s="162">
        <v>5869</v>
      </c>
      <c r="I902" s="64">
        <v>6554</v>
      </c>
      <c r="J902" s="64">
        <v>7935</v>
      </c>
      <c r="K902" s="64">
        <v>10387.5</v>
      </c>
      <c r="L902" s="62">
        <v>15000</v>
      </c>
      <c r="M902" s="62">
        <v>11000</v>
      </c>
      <c r="N902" s="62">
        <v>15000</v>
      </c>
    </row>
    <row r="903" spans="2:14" x14ac:dyDescent="0.2">
      <c r="B903" s="67"/>
      <c r="C903" s="67"/>
      <c r="D903" s="66"/>
      <c r="E903" s="66"/>
      <c r="F903" s="72" t="s">
        <v>290</v>
      </c>
      <c r="G903" s="162">
        <v>750000</v>
      </c>
      <c r="H903" s="162">
        <v>500000</v>
      </c>
      <c r="I903" s="64">
        <v>500000</v>
      </c>
      <c r="J903" s="64">
        <v>750000</v>
      </c>
      <c r="K903" s="64">
        <v>750000</v>
      </c>
      <c r="L903" s="62">
        <v>1250000</v>
      </c>
      <c r="M903" s="62">
        <v>1250000</v>
      </c>
      <c r="N903" s="62">
        <v>750000</v>
      </c>
    </row>
    <row r="904" spans="2:14" x14ac:dyDescent="0.2">
      <c r="B904" s="67"/>
      <c r="C904" s="67"/>
      <c r="D904" s="66"/>
      <c r="E904" s="66"/>
      <c r="F904" s="72" t="s">
        <v>291</v>
      </c>
      <c r="G904" s="162">
        <v>0</v>
      </c>
      <c r="H904" s="162">
        <v>35000</v>
      </c>
      <c r="I904" s="64">
        <v>15000</v>
      </c>
      <c r="J904" s="64">
        <v>25000</v>
      </c>
      <c r="K904" s="64">
        <v>25000</v>
      </c>
      <c r="L904" s="62">
        <v>50000</v>
      </c>
      <c r="M904" s="62">
        <v>50000</v>
      </c>
      <c r="N904" s="62">
        <v>50000</v>
      </c>
    </row>
    <row r="905" spans="2:14" x14ac:dyDescent="0.2">
      <c r="B905" s="67"/>
      <c r="C905" s="67"/>
      <c r="D905" s="66"/>
      <c r="E905" s="66"/>
      <c r="F905" s="72" t="s">
        <v>292</v>
      </c>
      <c r="G905" s="162">
        <v>18300</v>
      </c>
      <c r="H905" s="162">
        <v>13930</v>
      </c>
      <c r="I905" s="64">
        <v>20020</v>
      </c>
      <c r="J905" s="64">
        <v>20000</v>
      </c>
      <c r="K905" s="64">
        <v>0</v>
      </c>
      <c r="L905" s="62">
        <v>198250</v>
      </c>
      <c r="M905" s="62">
        <v>197235</v>
      </c>
      <c r="N905" s="62">
        <v>199250</v>
      </c>
    </row>
    <row r="906" spans="2:14" x14ac:dyDescent="0.2">
      <c r="B906" s="67"/>
      <c r="C906" s="67"/>
      <c r="D906" s="66"/>
      <c r="E906" s="66"/>
      <c r="F906" s="72" t="s">
        <v>293</v>
      </c>
      <c r="G906" s="162">
        <v>28000</v>
      </c>
      <c r="H906" s="162">
        <v>21000</v>
      </c>
      <c r="I906" s="64">
        <v>21000</v>
      </c>
      <c r="J906" s="64">
        <v>21000</v>
      </c>
      <c r="K906" s="64">
        <v>21000</v>
      </c>
      <c r="L906" s="62">
        <v>21000</v>
      </c>
      <c r="M906" s="62">
        <v>21000</v>
      </c>
      <c r="N906" s="62">
        <v>21000</v>
      </c>
    </row>
    <row r="907" spans="2:14" x14ac:dyDescent="0.2">
      <c r="B907" s="67"/>
      <c r="C907" s="67"/>
      <c r="D907" s="66"/>
      <c r="E907" s="66"/>
      <c r="F907" s="72" t="s">
        <v>294</v>
      </c>
      <c r="G907" s="162">
        <v>462361</v>
      </c>
      <c r="H907" s="162">
        <v>157737</v>
      </c>
      <c r="I907" s="64">
        <v>316353</v>
      </c>
      <c r="J907" s="64">
        <v>378994</v>
      </c>
      <c r="K907" s="64">
        <v>381040.25</v>
      </c>
      <c r="L907" s="62">
        <v>442200</v>
      </c>
      <c r="M907" s="62">
        <v>387200</v>
      </c>
      <c r="N907" s="62">
        <v>407200</v>
      </c>
    </row>
    <row r="908" spans="2:14" x14ac:dyDescent="0.2">
      <c r="B908" s="67"/>
      <c r="C908" s="67"/>
      <c r="D908" s="66"/>
      <c r="E908" s="66"/>
      <c r="F908" s="72" t="s">
        <v>295</v>
      </c>
      <c r="G908" s="162">
        <v>0</v>
      </c>
      <c r="H908" s="162">
        <v>0</v>
      </c>
      <c r="I908" s="64">
        <v>0</v>
      </c>
      <c r="J908" s="64">
        <v>0</v>
      </c>
      <c r="K908" s="64">
        <v>0</v>
      </c>
      <c r="L908" s="62">
        <v>23500</v>
      </c>
      <c r="M908" s="62">
        <v>23500</v>
      </c>
      <c r="N908" s="62">
        <v>53500</v>
      </c>
    </row>
    <row r="909" spans="2:14" x14ac:dyDescent="0.2">
      <c r="B909" s="67"/>
      <c r="C909" s="67"/>
      <c r="D909" s="66"/>
      <c r="E909" s="66"/>
      <c r="F909" s="72" t="s">
        <v>296</v>
      </c>
      <c r="G909" s="162">
        <v>494434</v>
      </c>
      <c r="H909" s="162">
        <v>455438</v>
      </c>
      <c r="I909" s="64">
        <v>285750</v>
      </c>
      <c r="J909" s="64">
        <v>182854</v>
      </c>
      <c r="K909" s="64">
        <v>132917.67000000001</v>
      </c>
      <c r="L909" s="62">
        <v>500000</v>
      </c>
      <c r="M909" s="62">
        <v>898478</v>
      </c>
      <c r="N909" s="62">
        <v>0</v>
      </c>
    </row>
    <row r="910" spans="2:14" x14ac:dyDescent="0.2">
      <c r="B910" s="67"/>
      <c r="C910" s="67"/>
      <c r="D910" s="66"/>
      <c r="E910" s="66"/>
      <c r="F910" s="72" t="s">
        <v>297</v>
      </c>
      <c r="G910" s="162">
        <v>12500</v>
      </c>
      <c r="H910" s="162">
        <v>12500</v>
      </c>
      <c r="I910" s="64">
        <v>12500</v>
      </c>
      <c r="J910" s="64">
        <v>15000</v>
      </c>
      <c r="K910" s="64">
        <v>15000</v>
      </c>
      <c r="L910" s="62">
        <v>12500</v>
      </c>
      <c r="M910" s="62">
        <v>12500</v>
      </c>
      <c r="N910" s="62">
        <v>15000</v>
      </c>
    </row>
    <row r="911" spans="2:14" x14ac:dyDescent="0.2">
      <c r="B911" s="67"/>
      <c r="C911" s="67"/>
      <c r="D911" s="66"/>
      <c r="E911" s="66"/>
      <c r="F911" s="72" t="s">
        <v>298</v>
      </c>
      <c r="G911" s="162">
        <v>0</v>
      </c>
      <c r="H911" s="162">
        <v>1845</v>
      </c>
      <c r="I911" s="64">
        <v>1964</v>
      </c>
      <c r="J911" s="64">
        <v>9874</v>
      </c>
      <c r="K911" s="64">
        <v>10150.94</v>
      </c>
      <c r="L911" s="62">
        <v>12500</v>
      </c>
      <c r="M911" s="62">
        <v>12500</v>
      </c>
      <c r="N911" s="62">
        <v>12500</v>
      </c>
    </row>
    <row r="912" spans="2:14" x14ac:dyDescent="0.2">
      <c r="B912" s="67"/>
      <c r="C912" s="67"/>
      <c r="D912" s="66"/>
      <c r="E912" s="66"/>
      <c r="F912" s="72" t="s">
        <v>299</v>
      </c>
      <c r="G912" s="162">
        <v>10000</v>
      </c>
      <c r="H912" s="162">
        <v>0</v>
      </c>
      <c r="I912" s="64">
        <v>10000</v>
      </c>
      <c r="J912" s="64">
        <v>10000</v>
      </c>
      <c r="K912" s="64">
        <v>15000</v>
      </c>
      <c r="L912" s="62">
        <v>15000</v>
      </c>
      <c r="M912" s="62">
        <v>15000</v>
      </c>
      <c r="N912" s="62">
        <v>15000</v>
      </c>
    </row>
    <row r="913" spans="2:14" x14ac:dyDescent="0.2">
      <c r="B913" s="67"/>
      <c r="C913" s="67"/>
      <c r="D913" s="66"/>
      <c r="E913" s="66"/>
      <c r="F913" s="72" t="s">
        <v>300</v>
      </c>
      <c r="G913" s="162">
        <v>0</v>
      </c>
      <c r="H913" s="162">
        <v>0</v>
      </c>
      <c r="I913" s="64">
        <v>0</v>
      </c>
      <c r="J913" s="64">
        <v>0</v>
      </c>
      <c r="K913" s="64">
        <v>0</v>
      </c>
      <c r="L913" s="62">
        <v>700000</v>
      </c>
      <c r="M913" s="62">
        <v>700000</v>
      </c>
      <c r="N913" s="62">
        <v>700000</v>
      </c>
    </row>
    <row r="914" spans="2:14" x14ac:dyDescent="0.2">
      <c r="B914" s="67"/>
      <c r="C914" s="67"/>
      <c r="D914" s="66"/>
      <c r="E914" s="66"/>
      <c r="F914" s="72" t="s">
        <v>301</v>
      </c>
      <c r="G914" s="162">
        <v>0</v>
      </c>
      <c r="H914" s="162">
        <v>0</v>
      </c>
      <c r="I914" s="64">
        <v>0</v>
      </c>
      <c r="J914" s="64">
        <v>0</v>
      </c>
      <c r="K914" s="64">
        <v>0</v>
      </c>
      <c r="L914" s="62">
        <v>200000</v>
      </c>
      <c r="M914" s="62">
        <v>200000</v>
      </c>
      <c r="N914" s="62">
        <v>200000</v>
      </c>
    </row>
    <row r="915" spans="2:14" x14ac:dyDescent="0.2">
      <c r="B915" s="67"/>
      <c r="C915" s="67"/>
      <c r="D915" s="66"/>
      <c r="E915" s="66"/>
      <c r="F915" s="72" t="s">
        <v>302</v>
      </c>
      <c r="G915" s="162">
        <v>0</v>
      </c>
      <c r="H915" s="162">
        <v>0</v>
      </c>
      <c r="I915" s="64">
        <v>0</v>
      </c>
      <c r="J915" s="64">
        <v>0</v>
      </c>
      <c r="K915" s="64">
        <v>0</v>
      </c>
      <c r="L915" s="62">
        <v>175000</v>
      </c>
      <c r="M915" s="62">
        <v>0</v>
      </c>
      <c r="N915" s="62">
        <v>375000</v>
      </c>
    </row>
    <row r="916" spans="2:14" x14ac:dyDescent="0.2">
      <c r="B916" s="67"/>
      <c r="C916" s="67"/>
      <c r="D916" s="66"/>
      <c r="E916" s="66"/>
      <c r="F916" s="72" t="s">
        <v>303</v>
      </c>
      <c r="G916" s="162">
        <v>0</v>
      </c>
      <c r="H916" s="162">
        <v>0</v>
      </c>
      <c r="I916" s="64">
        <v>0</v>
      </c>
      <c r="J916" s="64">
        <v>0</v>
      </c>
      <c r="K916" s="64">
        <v>0</v>
      </c>
      <c r="L916" s="62">
        <v>6000000</v>
      </c>
      <c r="M916" s="62">
        <v>13390799</v>
      </c>
      <c r="N916" s="62">
        <v>0</v>
      </c>
    </row>
    <row r="917" spans="2:14" x14ac:dyDescent="0.2">
      <c r="B917" s="67"/>
      <c r="C917" s="67"/>
      <c r="D917" s="66"/>
      <c r="E917" s="66"/>
      <c r="F917" s="72" t="s">
        <v>304</v>
      </c>
      <c r="G917" s="162">
        <v>0</v>
      </c>
      <c r="H917" s="162">
        <v>0</v>
      </c>
      <c r="I917" s="64">
        <v>0</v>
      </c>
      <c r="J917" s="64">
        <v>0</v>
      </c>
      <c r="K917" s="64">
        <v>0</v>
      </c>
      <c r="L917" s="62">
        <v>50000</v>
      </c>
      <c r="M917" s="62">
        <v>50000</v>
      </c>
      <c r="N917" s="62">
        <v>50000</v>
      </c>
    </row>
    <row r="918" spans="2:14" x14ac:dyDescent="0.2">
      <c r="B918" s="67"/>
      <c r="C918" s="67"/>
      <c r="D918" s="66"/>
      <c r="E918" s="66"/>
      <c r="F918" s="72" t="s">
        <v>305</v>
      </c>
      <c r="G918" s="162">
        <v>0</v>
      </c>
      <c r="H918" s="162">
        <v>0</v>
      </c>
      <c r="I918" s="64">
        <v>0</v>
      </c>
      <c r="J918" s="64">
        <v>0</v>
      </c>
      <c r="K918" s="64">
        <v>0</v>
      </c>
      <c r="L918" s="62">
        <v>0</v>
      </c>
      <c r="M918" s="62">
        <v>0</v>
      </c>
      <c r="N918" s="62">
        <v>0</v>
      </c>
    </row>
    <row r="919" spans="2:14" x14ac:dyDescent="0.2">
      <c r="B919" s="67"/>
      <c r="C919" s="67"/>
      <c r="D919" s="66"/>
      <c r="E919" s="66"/>
      <c r="F919" s="72" t="s">
        <v>306</v>
      </c>
      <c r="G919" s="162">
        <v>0</v>
      </c>
      <c r="H919" s="162">
        <v>0</v>
      </c>
      <c r="I919" s="64">
        <v>0</v>
      </c>
      <c r="J919" s="64">
        <v>0</v>
      </c>
      <c r="K919" s="64">
        <v>0</v>
      </c>
      <c r="L919" s="62">
        <v>2500000</v>
      </c>
      <c r="M919" s="62">
        <v>2500000</v>
      </c>
      <c r="N919" s="62">
        <v>1000000</v>
      </c>
    </row>
    <row r="920" spans="2:14" x14ac:dyDescent="0.2">
      <c r="B920" s="67"/>
      <c r="C920" s="67"/>
      <c r="D920" s="66"/>
      <c r="E920" s="66"/>
      <c r="F920" s="72" t="s">
        <v>307</v>
      </c>
      <c r="G920" s="162">
        <v>0</v>
      </c>
      <c r="H920" s="162">
        <v>0</v>
      </c>
      <c r="I920" s="64">
        <v>0</v>
      </c>
      <c r="J920" s="64">
        <v>0</v>
      </c>
      <c r="K920" s="64">
        <v>0</v>
      </c>
      <c r="L920" s="62">
        <v>200000</v>
      </c>
      <c r="M920" s="62">
        <v>0</v>
      </c>
      <c r="N920" s="62">
        <v>0</v>
      </c>
    </row>
    <row r="921" spans="2:14" x14ac:dyDescent="0.2">
      <c r="B921" s="67"/>
      <c r="C921" s="67"/>
      <c r="D921" s="66"/>
      <c r="E921" s="66"/>
      <c r="F921" s="72" t="s">
        <v>308</v>
      </c>
      <c r="G921" s="162">
        <v>0</v>
      </c>
      <c r="H921" s="162">
        <v>0</v>
      </c>
      <c r="I921" s="64">
        <v>0</v>
      </c>
      <c r="J921" s="64">
        <v>0</v>
      </c>
      <c r="K921" s="64">
        <v>0</v>
      </c>
      <c r="L921" s="62">
        <v>250000</v>
      </c>
      <c r="M921" s="62">
        <v>200000</v>
      </c>
      <c r="N921" s="62">
        <v>250000</v>
      </c>
    </row>
    <row r="922" spans="2:14" x14ac:dyDescent="0.2">
      <c r="B922" s="67"/>
      <c r="C922" s="67"/>
      <c r="D922" s="66"/>
      <c r="E922" s="66"/>
      <c r="F922" s="72" t="s">
        <v>309</v>
      </c>
      <c r="G922" s="162">
        <v>0</v>
      </c>
      <c r="H922" s="162">
        <v>0</v>
      </c>
      <c r="I922" s="64">
        <v>0</v>
      </c>
      <c r="J922" s="64">
        <v>0</v>
      </c>
      <c r="K922" s="64">
        <v>0</v>
      </c>
      <c r="L922" s="62">
        <v>300000</v>
      </c>
      <c r="M922" s="62">
        <v>100000</v>
      </c>
      <c r="N922" s="62">
        <v>100000</v>
      </c>
    </row>
    <row r="923" spans="2:14" x14ac:dyDescent="0.2">
      <c r="B923" s="67"/>
      <c r="C923" s="67"/>
      <c r="D923" s="66"/>
      <c r="E923" s="66"/>
      <c r="F923" s="72" t="s">
        <v>310</v>
      </c>
      <c r="G923" s="162">
        <v>35000</v>
      </c>
      <c r="H923" s="162">
        <v>0</v>
      </c>
      <c r="I923" s="64">
        <v>25000</v>
      </c>
      <c r="J923" s="64">
        <v>0</v>
      </c>
      <c r="K923" s="64">
        <v>0</v>
      </c>
      <c r="L923" s="62">
        <v>0</v>
      </c>
      <c r="M923" s="62">
        <v>0</v>
      </c>
      <c r="N923" s="62">
        <v>0</v>
      </c>
    </row>
    <row r="924" spans="2:14" x14ac:dyDescent="0.2">
      <c r="B924" s="67"/>
      <c r="C924" s="67"/>
      <c r="D924" s="66"/>
      <c r="E924" s="66"/>
      <c r="F924" s="72" t="s">
        <v>311</v>
      </c>
      <c r="G924" s="162">
        <v>0</v>
      </c>
      <c r="H924" s="162">
        <v>0</v>
      </c>
      <c r="I924" s="64">
        <v>0</v>
      </c>
      <c r="J924" s="64">
        <v>0</v>
      </c>
      <c r="K924" s="64">
        <v>0</v>
      </c>
      <c r="L924" s="62">
        <v>500000</v>
      </c>
      <c r="M924" s="62">
        <v>500000</v>
      </c>
      <c r="N924" s="62">
        <v>250000</v>
      </c>
    </row>
    <row r="925" spans="2:14" x14ac:dyDescent="0.2">
      <c r="B925" s="67"/>
      <c r="C925" s="67"/>
      <c r="D925" s="66"/>
      <c r="E925" s="66"/>
      <c r="F925" s="72" t="s">
        <v>312</v>
      </c>
      <c r="G925" s="162">
        <v>17016</v>
      </c>
      <c r="H925" s="162">
        <v>6736</v>
      </c>
      <c r="I925" s="64">
        <v>12166</v>
      </c>
      <c r="J925" s="64">
        <v>5031</v>
      </c>
      <c r="K925" s="64">
        <v>12077.5</v>
      </c>
      <c r="L925" s="62">
        <v>30000</v>
      </c>
      <c r="M925" s="62">
        <v>6700</v>
      </c>
      <c r="N925" s="62">
        <v>30000</v>
      </c>
    </row>
    <row r="926" spans="2:14" x14ac:dyDescent="0.2">
      <c r="B926" s="67"/>
      <c r="C926" s="67"/>
      <c r="D926" s="66"/>
      <c r="E926" s="66"/>
      <c r="F926" s="72" t="s">
        <v>313</v>
      </c>
      <c r="G926" s="162">
        <v>0</v>
      </c>
      <c r="H926" s="162">
        <v>0</v>
      </c>
      <c r="I926" s="64">
        <v>0</v>
      </c>
      <c r="J926" s="64">
        <v>0</v>
      </c>
      <c r="K926" s="64">
        <v>0</v>
      </c>
      <c r="L926" s="62">
        <v>200</v>
      </c>
      <c r="M926" s="62">
        <v>0</v>
      </c>
      <c r="N926" s="62">
        <v>200</v>
      </c>
    </row>
    <row r="927" spans="2:14" x14ac:dyDescent="0.2">
      <c r="B927" s="67"/>
      <c r="C927" s="67"/>
      <c r="D927" s="66"/>
      <c r="E927" s="66"/>
      <c r="F927" s="72" t="s">
        <v>314</v>
      </c>
      <c r="G927" s="162">
        <v>0</v>
      </c>
      <c r="H927" s="162">
        <v>0</v>
      </c>
      <c r="I927" s="64">
        <v>0</v>
      </c>
      <c r="J927" s="64">
        <v>0</v>
      </c>
      <c r="K927" s="64">
        <v>622948.9</v>
      </c>
      <c r="L927" s="62">
        <v>5000</v>
      </c>
      <c r="M927" s="62">
        <v>229000</v>
      </c>
      <c r="N927" s="62">
        <v>0</v>
      </c>
    </row>
    <row r="928" spans="2:14" x14ac:dyDescent="0.2">
      <c r="B928" s="67"/>
      <c r="C928" s="67"/>
      <c r="D928" s="66"/>
      <c r="E928" s="66"/>
      <c r="F928" s="72" t="s">
        <v>315</v>
      </c>
      <c r="G928" s="162">
        <v>0</v>
      </c>
      <c r="H928" s="162">
        <v>0</v>
      </c>
      <c r="I928" s="64">
        <v>0</v>
      </c>
      <c r="J928" s="64">
        <v>40938</v>
      </c>
      <c r="K928" s="64">
        <v>701119.87</v>
      </c>
      <c r="L928" s="62">
        <v>969509</v>
      </c>
      <c r="M928" s="62">
        <v>749738</v>
      </c>
      <c r="N928" s="62">
        <v>1546495</v>
      </c>
    </row>
    <row r="929" spans="2:14" x14ac:dyDescent="0.2">
      <c r="B929" s="67"/>
      <c r="C929" s="67"/>
      <c r="D929" s="66"/>
      <c r="E929" s="66"/>
      <c r="F929" s="72" t="s">
        <v>316</v>
      </c>
      <c r="G929" s="162">
        <v>0</v>
      </c>
      <c r="H929" s="162">
        <v>0</v>
      </c>
      <c r="I929" s="64">
        <v>0</v>
      </c>
      <c r="J929" s="64">
        <v>0</v>
      </c>
      <c r="K929" s="64">
        <v>0</v>
      </c>
      <c r="L929" s="62">
        <v>0</v>
      </c>
      <c r="M929" s="62">
        <v>0</v>
      </c>
      <c r="N929" s="62">
        <v>2261852</v>
      </c>
    </row>
    <row r="930" spans="2:14" x14ac:dyDescent="0.2">
      <c r="B930" s="67"/>
      <c r="C930" s="67"/>
      <c r="D930" s="66"/>
      <c r="E930" s="66"/>
      <c r="F930" s="72" t="s">
        <v>317</v>
      </c>
      <c r="G930" s="162">
        <v>0</v>
      </c>
      <c r="H930" s="162">
        <v>7974308</v>
      </c>
      <c r="I930" s="64">
        <v>5466008</v>
      </c>
      <c r="J930" s="64">
        <v>115336</v>
      </c>
      <c r="K930" s="64">
        <v>0</v>
      </c>
      <c r="L930" s="62">
        <v>0</v>
      </c>
      <c r="M930" s="62">
        <v>0</v>
      </c>
      <c r="N930" s="62">
        <v>1500000</v>
      </c>
    </row>
    <row r="931" spans="2:14" x14ac:dyDescent="0.2">
      <c r="B931" s="67"/>
      <c r="C931" s="67"/>
      <c r="D931" s="66"/>
      <c r="E931" s="66"/>
      <c r="F931" s="72" t="s">
        <v>318</v>
      </c>
      <c r="G931" s="162">
        <v>4325130</v>
      </c>
      <c r="H931" s="162">
        <v>4036032</v>
      </c>
      <c r="I931" s="64">
        <v>4937398</v>
      </c>
      <c r="J931" s="64">
        <v>4560311</v>
      </c>
      <c r="K931" s="64">
        <f>1863599.74+568724.03+123880.48+259022.83+782699.41+529307.51+715128.24</f>
        <v>4842362.24</v>
      </c>
      <c r="L931" s="62">
        <v>6688362</v>
      </c>
      <c r="M931" s="62">
        <v>5574585</v>
      </c>
      <c r="N931" s="62">
        <v>6502212</v>
      </c>
    </row>
    <row r="932" spans="2:14" x14ac:dyDescent="0.2">
      <c r="B932" s="67"/>
      <c r="C932" s="67"/>
      <c r="D932" s="66"/>
      <c r="E932" s="66"/>
      <c r="F932" s="72" t="s">
        <v>319</v>
      </c>
      <c r="G932" s="162">
        <v>8346393</v>
      </c>
      <c r="H932" s="162">
        <v>7539168</v>
      </c>
      <c r="I932" s="64">
        <v>8590594</v>
      </c>
      <c r="J932" s="64">
        <v>9168513</v>
      </c>
      <c r="K932" s="64">
        <v>9584953</v>
      </c>
      <c r="L932" s="62">
        <v>11446840</v>
      </c>
      <c r="M932" s="62">
        <v>10626360</v>
      </c>
      <c r="N932" s="62">
        <v>11655185</v>
      </c>
    </row>
    <row r="933" spans="2:14" x14ac:dyDescent="0.2">
      <c r="B933" s="67"/>
      <c r="C933" s="67"/>
      <c r="D933" s="66"/>
      <c r="E933" s="66"/>
      <c r="F933" s="72" t="s">
        <v>320</v>
      </c>
      <c r="G933" s="162">
        <v>2918738</v>
      </c>
      <c r="H933" s="162">
        <v>4231302</v>
      </c>
      <c r="I933" s="64">
        <v>3446509</v>
      </c>
      <c r="J933" s="64">
        <v>556432</v>
      </c>
      <c r="K933" s="64">
        <v>3448316</v>
      </c>
      <c r="L933" s="62">
        <v>3091065</v>
      </c>
      <c r="M933" s="62">
        <v>3850000</v>
      </c>
      <c r="N933" s="62">
        <v>3250000</v>
      </c>
    </row>
    <row r="934" spans="2:14" x14ac:dyDescent="0.2">
      <c r="B934" s="67"/>
      <c r="C934" s="67"/>
      <c r="D934" s="66"/>
      <c r="E934" s="66"/>
      <c r="F934" s="72" t="s">
        <v>321</v>
      </c>
      <c r="G934" s="162">
        <v>18149898</v>
      </c>
      <c r="H934" s="162">
        <v>18210849</v>
      </c>
      <c r="I934" s="64">
        <v>20239623</v>
      </c>
      <c r="J934" s="64">
        <v>21827408</v>
      </c>
      <c r="K934" s="64">
        <f>13400962.72+10919345.86</f>
        <v>24320308.579999998</v>
      </c>
      <c r="L934" s="62">
        <v>28388212</v>
      </c>
      <c r="M934" s="62">
        <v>27241645</v>
      </c>
      <c r="N934" s="62">
        <v>31896734</v>
      </c>
    </row>
    <row r="935" spans="2:14" x14ac:dyDescent="0.2">
      <c r="B935" s="67"/>
      <c r="C935" s="67"/>
      <c r="D935" s="66"/>
      <c r="E935" s="66"/>
      <c r="F935" s="72" t="s">
        <v>322</v>
      </c>
      <c r="G935" s="162">
        <v>0</v>
      </c>
      <c r="H935" s="162">
        <v>0</v>
      </c>
      <c r="I935" s="64">
        <v>0</v>
      </c>
      <c r="J935" s="64">
        <v>0</v>
      </c>
      <c r="K935" s="64">
        <v>0</v>
      </c>
      <c r="L935" s="62">
        <v>41200</v>
      </c>
      <c r="M935" s="62">
        <v>0</v>
      </c>
      <c r="N935" s="62">
        <v>41200</v>
      </c>
    </row>
    <row r="936" spans="2:14" x14ac:dyDescent="0.2">
      <c r="B936" s="67"/>
      <c r="C936" s="67"/>
      <c r="D936" s="66"/>
      <c r="E936" s="66"/>
      <c r="F936" s="72" t="s">
        <v>323</v>
      </c>
      <c r="G936" s="162">
        <v>470697</v>
      </c>
      <c r="H936" s="162">
        <v>376298</v>
      </c>
      <c r="I936" s="64">
        <v>0</v>
      </c>
      <c r="J936" s="64">
        <v>0</v>
      </c>
      <c r="K936" s="64">
        <v>0</v>
      </c>
      <c r="L936" s="62">
        <v>51500</v>
      </c>
      <c r="M936" s="62">
        <v>25000</v>
      </c>
      <c r="N936" s="62">
        <v>51500</v>
      </c>
    </row>
    <row r="937" spans="2:14" x14ac:dyDescent="0.2">
      <c r="B937" s="67"/>
      <c r="C937" s="67"/>
      <c r="D937" s="66"/>
      <c r="E937" s="66"/>
      <c r="F937" s="72" t="s">
        <v>324</v>
      </c>
      <c r="G937" s="162">
        <v>36479223</v>
      </c>
      <c r="H937" s="162">
        <v>36119925</v>
      </c>
      <c r="I937" s="64">
        <v>35420092</v>
      </c>
      <c r="J937" s="64">
        <v>38652996</v>
      </c>
      <c r="K937" s="64">
        <v>42005221</v>
      </c>
      <c r="L937" s="62">
        <v>43821206</v>
      </c>
      <c r="M937" s="62">
        <v>45905573</v>
      </c>
      <c r="N937" s="62">
        <v>46616490</v>
      </c>
    </row>
    <row r="938" spans="2:14" x14ac:dyDescent="0.2">
      <c r="B938" s="67"/>
      <c r="C938" s="67"/>
      <c r="D938" s="66"/>
      <c r="E938" s="66"/>
      <c r="F938" s="72" t="s">
        <v>325</v>
      </c>
      <c r="G938" s="162">
        <v>324387</v>
      </c>
      <c r="H938" s="162">
        <v>316897</v>
      </c>
      <c r="I938" s="64">
        <v>270787</v>
      </c>
      <c r="J938" s="64">
        <v>248709</v>
      </c>
      <c r="K938" s="64">
        <v>182936.44</v>
      </c>
      <c r="L938" s="62">
        <v>360500</v>
      </c>
      <c r="M938" s="62">
        <v>160000</v>
      </c>
      <c r="N938" s="62">
        <v>360500</v>
      </c>
    </row>
    <row r="939" spans="2:14" x14ac:dyDescent="0.2">
      <c r="B939" s="67"/>
      <c r="C939" s="67"/>
      <c r="D939" s="66"/>
      <c r="E939" s="66"/>
      <c r="F939" s="72" t="s">
        <v>326</v>
      </c>
      <c r="G939" s="162">
        <v>1039844</v>
      </c>
      <c r="H939" s="162">
        <v>1785913</v>
      </c>
      <c r="I939" s="64">
        <v>4548907</v>
      </c>
      <c r="J939" s="64">
        <v>16945707</v>
      </c>
      <c r="K939" s="64">
        <f>86250+407562.17+250+30646.1+96360</f>
        <v>621068.27</v>
      </c>
      <c r="L939" s="62">
        <v>1545000</v>
      </c>
      <c r="M939" s="62">
        <v>1050000</v>
      </c>
      <c r="N939" s="62">
        <v>1600000</v>
      </c>
    </row>
    <row r="940" spans="2:14" x14ac:dyDescent="0.2">
      <c r="B940" s="67"/>
      <c r="C940" s="67"/>
      <c r="D940" s="66"/>
      <c r="E940" s="66"/>
      <c r="F940" s="72" t="s">
        <v>327</v>
      </c>
      <c r="G940" s="162">
        <v>624367</v>
      </c>
      <c r="H940" s="162">
        <v>440945</v>
      </c>
      <c r="I940" s="64">
        <v>57044</v>
      </c>
      <c r="J940" s="64">
        <v>0</v>
      </c>
      <c r="K940" s="64">
        <v>0</v>
      </c>
      <c r="L940" s="62">
        <v>0</v>
      </c>
      <c r="M940" s="62">
        <v>0</v>
      </c>
      <c r="N940" s="62">
        <v>0</v>
      </c>
    </row>
    <row r="941" spans="2:14" x14ac:dyDescent="0.2">
      <c r="B941" s="67"/>
      <c r="C941" s="67"/>
      <c r="D941" s="66"/>
      <c r="E941" s="66"/>
      <c r="F941" s="72" t="s">
        <v>328</v>
      </c>
      <c r="G941" s="162">
        <v>30000</v>
      </c>
      <c r="H941" s="162">
        <v>50000</v>
      </c>
      <c r="I941" s="64">
        <v>40000</v>
      </c>
      <c r="J941" s="64">
        <v>32842</v>
      </c>
      <c r="K941" s="64">
        <v>42077.5</v>
      </c>
      <c r="L941" s="62">
        <v>43000</v>
      </c>
      <c r="M941" s="62">
        <v>40000</v>
      </c>
      <c r="N941" s="62">
        <v>40000</v>
      </c>
    </row>
    <row r="942" spans="2:14" x14ac:dyDescent="0.2">
      <c r="B942" s="67"/>
      <c r="C942" s="67"/>
      <c r="D942" s="66"/>
      <c r="E942" s="66"/>
      <c r="F942" s="72" t="s">
        <v>329</v>
      </c>
      <c r="G942" s="162">
        <v>1360571</v>
      </c>
      <c r="H942" s="162">
        <v>1097669</v>
      </c>
      <c r="I942" s="64">
        <v>1224830</v>
      </c>
      <c r="J942" s="64">
        <v>981238</v>
      </c>
      <c r="K942" s="64">
        <v>849435</v>
      </c>
      <c r="L942" s="62">
        <v>1248000</v>
      </c>
      <c r="M942" s="62">
        <v>1246500</v>
      </c>
      <c r="N942" s="62">
        <v>1320000</v>
      </c>
    </row>
    <row r="943" spans="2:14" x14ac:dyDescent="0.2">
      <c r="B943" s="67"/>
      <c r="C943" s="67"/>
      <c r="D943" s="66"/>
      <c r="E943" s="66"/>
      <c r="F943" s="72" t="s">
        <v>330</v>
      </c>
      <c r="G943" s="162">
        <v>0</v>
      </c>
      <c r="H943" s="162">
        <v>0</v>
      </c>
      <c r="I943" s="64">
        <v>51637</v>
      </c>
      <c r="J943" s="64">
        <v>6671</v>
      </c>
      <c r="K943" s="64">
        <v>3127.91</v>
      </c>
      <c r="L943" s="62">
        <v>70000</v>
      </c>
      <c r="M943" s="62">
        <v>0</v>
      </c>
      <c r="N943" s="62">
        <v>0</v>
      </c>
    </row>
    <row r="944" spans="2:14" x14ac:dyDescent="0.2">
      <c r="B944" s="67"/>
      <c r="C944" s="67"/>
      <c r="D944" s="66"/>
      <c r="E944" s="66"/>
      <c r="F944" s="72" t="s">
        <v>331</v>
      </c>
      <c r="G944" s="162">
        <v>138300</v>
      </c>
      <c r="H944" s="162">
        <v>155638</v>
      </c>
      <c r="I944" s="64">
        <v>165296</v>
      </c>
      <c r="J944" s="64">
        <v>136459</v>
      </c>
      <c r="K944" s="64">
        <v>107938.63</v>
      </c>
      <c r="L944" s="62">
        <v>170250</v>
      </c>
      <c r="M944" s="62">
        <v>160000</v>
      </c>
      <c r="N944" s="62">
        <v>210000</v>
      </c>
    </row>
    <row r="945" spans="2:14" x14ac:dyDescent="0.2">
      <c r="B945" s="67"/>
      <c r="C945" s="67"/>
      <c r="D945" s="66"/>
      <c r="E945" s="66"/>
      <c r="F945" s="72" t="s">
        <v>332</v>
      </c>
      <c r="G945" s="162">
        <v>0</v>
      </c>
      <c r="H945" s="162">
        <v>0</v>
      </c>
      <c r="I945" s="64">
        <v>0</v>
      </c>
      <c r="J945" s="64">
        <v>0</v>
      </c>
      <c r="K945" s="64">
        <v>0</v>
      </c>
      <c r="L945" s="62">
        <v>10000</v>
      </c>
      <c r="M945" s="62">
        <v>0</v>
      </c>
      <c r="N945" s="62">
        <v>0</v>
      </c>
    </row>
    <row r="946" spans="2:14" x14ac:dyDescent="0.2">
      <c r="B946" s="67"/>
      <c r="C946" s="67"/>
      <c r="D946" s="66"/>
      <c r="E946" s="66"/>
      <c r="F946" s="72" t="s">
        <v>333</v>
      </c>
      <c r="G946" s="162">
        <v>0</v>
      </c>
      <c r="H946" s="162">
        <v>0</v>
      </c>
      <c r="I946" s="64">
        <v>0</v>
      </c>
      <c r="J946" s="64">
        <v>0</v>
      </c>
      <c r="K946" s="64">
        <v>500000</v>
      </c>
      <c r="L946" s="62">
        <v>0</v>
      </c>
      <c r="M946" s="62">
        <v>0</v>
      </c>
      <c r="N946" s="62">
        <v>0</v>
      </c>
    </row>
    <row r="947" spans="2:14" x14ac:dyDescent="0.2">
      <c r="B947" s="242" t="s">
        <v>334</v>
      </c>
      <c r="C947" s="242"/>
      <c r="D947" s="242"/>
      <c r="E947" s="242"/>
      <c r="F947" s="242"/>
      <c r="G947" s="63">
        <f t="shared" ref="G947:N947" si="221">G948+G951</f>
        <v>19835481</v>
      </c>
      <c r="H947" s="63">
        <f t="shared" si="221"/>
        <v>17542436</v>
      </c>
      <c r="I947" s="63">
        <f t="shared" si="221"/>
        <v>23754659</v>
      </c>
      <c r="J947" s="63">
        <f t="shared" si="221"/>
        <v>31551546</v>
      </c>
      <c r="K947" s="63">
        <f t="shared" si="221"/>
        <v>34269924</v>
      </c>
      <c r="L947" s="63">
        <f t="shared" si="221"/>
        <v>32274237</v>
      </c>
      <c r="M947" s="63">
        <f t="shared" si="221"/>
        <v>31412047</v>
      </c>
      <c r="N947" s="63">
        <f t="shared" si="221"/>
        <v>26972434</v>
      </c>
    </row>
    <row r="948" spans="2:14" x14ac:dyDescent="0.2">
      <c r="B948" s="67"/>
      <c r="C948" s="236" t="s">
        <v>335</v>
      </c>
      <c r="D948" s="236"/>
      <c r="E948" s="236"/>
      <c r="F948" s="236"/>
      <c r="G948" s="71">
        <f t="shared" ref="G948:N948" si="222">G949+G950</f>
        <v>3581000</v>
      </c>
      <c r="H948" s="71">
        <f t="shared" si="222"/>
        <v>0</v>
      </c>
      <c r="I948" s="71">
        <f t="shared" si="222"/>
        <v>5027579</v>
      </c>
      <c r="J948" s="71">
        <f t="shared" si="222"/>
        <v>12209300</v>
      </c>
      <c r="K948" s="71">
        <f t="shared" si="222"/>
        <v>9852037</v>
      </c>
      <c r="L948" s="71">
        <f t="shared" si="222"/>
        <v>7442750</v>
      </c>
      <c r="M948" s="71">
        <f t="shared" si="222"/>
        <v>7442750</v>
      </c>
      <c r="N948" s="71">
        <f t="shared" si="222"/>
        <v>2121500</v>
      </c>
    </row>
    <row r="949" spans="2:14" x14ac:dyDescent="0.2">
      <c r="B949" s="67"/>
      <c r="C949" s="66"/>
      <c r="D949" s="66"/>
      <c r="E949" s="66"/>
      <c r="F949" s="213" t="s">
        <v>336</v>
      </c>
      <c r="G949" s="162">
        <v>3581000</v>
      </c>
      <c r="H949" s="162">
        <v>0</v>
      </c>
      <c r="I949" s="70">
        <v>5027579</v>
      </c>
      <c r="J949" s="70">
        <v>12209300</v>
      </c>
      <c r="K949" s="70">
        <v>9217100</v>
      </c>
      <c r="L949" s="70">
        <v>7442750</v>
      </c>
      <c r="M949" s="64">
        <v>7442750</v>
      </c>
      <c r="N949" s="64">
        <v>2121500</v>
      </c>
    </row>
    <row r="950" spans="2:14" x14ac:dyDescent="0.2">
      <c r="B950" s="67"/>
      <c r="C950" s="66"/>
      <c r="D950" s="66"/>
      <c r="E950" s="66"/>
      <c r="F950" s="213" t="s">
        <v>337</v>
      </c>
      <c r="G950" s="162">
        <v>0</v>
      </c>
      <c r="H950" s="162">
        <v>0</v>
      </c>
      <c r="I950" s="69">
        <v>0</v>
      </c>
      <c r="J950" s="64">
        <v>0</v>
      </c>
      <c r="K950" s="64">
        <v>634937</v>
      </c>
      <c r="L950" s="64">
        <v>0</v>
      </c>
      <c r="M950" s="64">
        <v>0</v>
      </c>
      <c r="N950" s="64">
        <v>0</v>
      </c>
    </row>
    <row r="951" spans="2:14" x14ac:dyDescent="0.2">
      <c r="B951" s="67"/>
      <c r="C951" s="236" t="s">
        <v>338</v>
      </c>
      <c r="D951" s="236"/>
      <c r="E951" s="236"/>
      <c r="F951" s="236"/>
      <c r="G951" s="68">
        <f t="shared" ref="G951:N951" si="223">G952</f>
        <v>16254481</v>
      </c>
      <c r="H951" s="68">
        <f t="shared" si="223"/>
        <v>17542436</v>
      </c>
      <c r="I951" s="68">
        <f t="shared" si="223"/>
        <v>18727080</v>
      </c>
      <c r="J951" s="68">
        <f t="shared" si="223"/>
        <v>19342246</v>
      </c>
      <c r="K951" s="68">
        <f t="shared" si="223"/>
        <v>24417887</v>
      </c>
      <c r="L951" s="68">
        <f t="shared" si="223"/>
        <v>24831487</v>
      </c>
      <c r="M951" s="68">
        <f t="shared" si="223"/>
        <v>23969297</v>
      </c>
      <c r="N951" s="68">
        <f t="shared" si="223"/>
        <v>24850934</v>
      </c>
    </row>
    <row r="952" spans="2:14" x14ac:dyDescent="0.2">
      <c r="B952" s="67"/>
      <c r="C952" s="66"/>
      <c r="D952" s="66"/>
      <c r="E952" s="66"/>
      <c r="F952" s="213" t="s">
        <v>339</v>
      </c>
      <c r="G952" s="70">
        <v>16254481</v>
      </c>
      <c r="H952" s="70">
        <v>17542436</v>
      </c>
      <c r="I952" s="70">
        <v>18727080</v>
      </c>
      <c r="J952" s="70">
        <v>19342246</v>
      </c>
      <c r="K952" s="70">
        <v>24417887</v>
      </c>
      <c r="L952" s="70">
        <v>24831487</v>
      </c>
      <c r="M952" s="64">
        <v>23969297</v>
      </c>
      <c r="N952" s="64">
        <v>24850934</v>
      </c>
    </row>
    <row r="953" spans="2:14" x14ac:dyDescent="0.2">
      <c r="B953" s="240" t="s">
        <v>340</v>
      </c>
      <c r="C953" s="240"/>
      <c r="D953" s="240"/>
      <c r="E953" s="240"/>
      <c r="F953" s="240"/>
      <c r="G953" s="168">
        <v>0</v>
      </c>
      <c r="H953" s="168">
        <v>0</v>
      </c>
      <c r="I953" s="168">
        <v>0</v>
      </c>
      <c r="J953" s="169">
        <v>404467</v>
      </c>
      <c r="K953" s="169">
        <v>4711245</v>
      </c>
      <c r="L953" s="169">
        <v>543235</v>
      </c>
      <c r="M953" s="62">
        <v>543235</v>
      </c>
      <c r="N953" s="62">
        <v>608995</v>
      </c>
    </row>
  </sheetData>
  <mergeCells count="343">
    <mergeCell ref="D134:F134"/>
    <mergeCell ref="D135:F135"/>
    <mergeCell ref="D136:F136"/>
    <mergeCell ref="D137:F137"/>
    <mergeCell ref="C138:F138"/>
    <mergeCell ref="A1:F1"/>
    <mergeCell ref="D146:F146"/>
    <mergeCell ref="D147:F147"/>
    <mergeCell ref="D148:F148"/>
    <mergeCell ref="D128:F128"/>
    <mergeCell ref="D129:F129"/>
    <mergeCell ref="C130:F130"/>
    <mergeCell ref="D132:F132"/>
    <mergeCell ref="D133:F133"/>
    <mergeCell ref="D131:F131"/>
    <mergeCell ref="D123:F123"/>
    <mergeCell ref="D124:F124"/>
    <mergeCell ref="D126:F126"/>
    <mergeCell ref="C127:F127"/>
    <mergeCell ref="D122:F122"/>
    <mergeCell ref="D103:F103"/>
    <mergeCell ref="D104:F104"/>
    <mergeCell ref="D95:F95"/>
    <mergeCell ref="D96:F96"/>
    <mergeCell ref="D149:F149"/>
    <mergeCell ref="D150:F150"/>
    <mergeCell ref="D151:F151"/>
    <mergeCell ref="D153:F153"/>
    <mergeCell ref="D154:F154"/>
    <mergeCell ref="D139:F139"/>
    <mergeCell ref="C140:F140"/>
    <mergeCell ref="C152:F152"/>
    <mergeCell ref="D141:F141"/>
    <mergeCell ref="D142:F142"/>
    <mergeCell ref="D143:F143"/>
    <mergeCell ref="D144:F144"/>
    <mergeCell ref="D145:F145"/>
    <mergeCell ref="D97:F97"/>
    <mergeCell ref="D98:F98"/>
    <mergeCell ref="D99:F99"/>
    <mergeCell ref="D110:F110"/>
    <mergeCell ref="D112:F112"/>
    <mergeCell ref="D116:F116"/>
    <mergeCell ref="D117:F117"/>
    <mergeCell ref="C118:F118"/>
    <mergeCell ref="D119:F119"/>
    <mergeCell ref="D100:F100"/>
    <mergeCell ref="D101:F101"/>
    <mergeCell ref="D102:F102"/>
    <mergeCell ref="D120:F120"/>
    <mergeCell ref="D113:F113"/>
    <mergeCell ref="D114:F114"/>
    <mergeCell ref="D115:F115"/>
    <mergeCell ref="D105:F105"/>
    <mergeCell ref="D106:F106"/>
    <mergeCell ref="D107:F107"/>
    <mergeCell ref="D108:F108"/>
    <mergeCell ref="D109:F109"/>
    <mergeCell ref="D111:F111"/>
    <mergeCell ref="C94:F94"/>
    <mergeCell ref="C91:F91"/>
    <mergeCell ref="C82:F82"/>
    <mergeCell ref="D83:F83"/>
    <mergeCell ref="D84:F84"/>
    <mergeCell ref="D85:F85"/>
    <mergeCell ref="C70:F70"/>
    <mergeCell ref="D71:F71"/>
    <mergeCell ref="D72:F72"/>
    <mergeCell ref="D86:F86"/>
    <mergeCell ref="D87:F87"/>
    <mergeCell ref="D89:F89"/>
    <mergeCell ref="D90:F90"/>
    <mergeCell ref="D92:F92"/>
    <mergeCell ref="D93:F93"/>
    <mergeCell ref="D88:F88"/>
    <mergeCell ref="D74:F74"/>
    <mergeCell ref="D75:F75"/>
    <mergeCell ref="D76:F76"/>
    <mergeCell ref="C77:F77"/>
    <mergeCell ref="D78:F78"/>
    <mergeCell ref="D79:F79"/>
    <mergeCell ref="D80:F80"/>
    <mergeCell ref="D81:F81"/>
    <mergeCell ref="D63:F63"/>
    <mergeCell ref="D64:F64"/>
    <mergeCell ref="D65:F65"/>
    <mergeCell ref="D66:F66"/>
    <mergeCell ref="D67:F67"/>
    <mergeCell ref="D73:F73"/>
    <mergeCell ref="D61:F61"/>
    <mergeCell ref="C52:F52"/>
    <mergeCell ref="D53:F53"/>
    <mergeCell ref="C54:F54"/>
    <mergeCell ref="D55:F55"/>
    <mergeCell ref="D56:F56"/>
    <mergeCell ref="D68:F68"/>
    <mergeCell ref="D62:F62"/>
    <mergeCell ref="D69:F69"/>
    <mergeCell ref="D40:F40"/>
    <mergeCell ref="D41:F41"/>
    <mergeCell ref="D43:F43"/>
    <mergeCell ref="D57:F57"/>
    <mergeCell ref="D58:F58"/>
    <mergeCell ref="D59:F59"/>
    <mergeCell ref="D60:F60"/>
    <mergeCell ref="D42:F42"/>
    <mergeCell ref="D44:F44"/>
    <mergeCell ref="D45:F45"/>
    <mergeCell ref="D46:F46"/>
    <mergeCell ref="D26:F26"/>
    <mergeCell ref="D27:F27"/>
    <mergeCell ref="D28:F28"/>
    <mergeCell ref="D12:F12"/>
    <mergeCell ref="D22:F22"/>
    <mergeCell ref="A155:F155"/>
    <mergeCell ref="C121:F121"/>
    <mergeCell ref="D13:F13"/>
    <mergeCell ref="D14:F14"/>
    <mergeCell ref="D15:F15"/>
    <mergeCell ref="D16:F16"/>
    <mergeCell ref="D17:F17"/>
    <mergeCell ref="D18:F18"/>
    <mergeCell ref="D31:F31"/>
    <mergeCell ref="D32:F32"/>
    <mergeCell ref="D24:F24"/>
    <mergeCell ref="D25:F25"/>
    <mergeCell ref="D47:F47"/>
    <mergeCell ref="D48:F48"/>
    <mergeCell ref="D49:F49"/>
    <mergeCell ref="D50:F50"/>
    <mergeCell ref="D51:F51"/>
    <mergeCell ref="D38:F38"/>
    <mergeCell ref="D39:F39"/>
    <mergeCell ref="E383:F383"/>
    <mergeCell ref="E293:F293"/>
    <mergeCell ref="E296:F296"/>
    <mergeCell ref="D4:F4"/>
    <mergeCell ref="A2:F2"/>
    <mergeCell ref="B3:F3"/>
    <mergeCell ref="D6:F6"/>
    <mergeCell ref="D7:F7"/>
    <mergeCell ref="D8:F8"/>
    <mergeCell ref="D9:F9"/>
    <mergeCell ref="D10:F10"/>
    <mergeCell ref="D11:F11"/>
    <mergeCell ref="D33:F33"/>
    <mergeCell ref="D34:F34"/>
    <mergeCell ref="D35:F35"/>
    <mergeCell ref="D36:F36"/>
    <mergeCell ref="D37:F37"/>
    <mergeCell ref="D20:F20"/>
    <mergeCell ref="D21:F21"/>
    <mergeCell ref="D23:F23"/>
    <mergeCell ref="B5:F5"/>
    <mergeCell ref="B19:F19"/>
    <mergeCell ref="B29:F29"/>
    <mergeCell ref="C30:F30"/>
    <mergeCell ref="E725:F725"/>
    <mergeCell ref="E733:F733"/>
    <mergeCell ref="E735:F735"/>
    <mergeCell ref="D746:F746"/>
    <mergeCell ref="E747:F747"/>
    <mergeCell ref="E757:F757"/>
    <mergeCell ref="D858:F858"/>
    <mergeCell ref="E859:F859"/>
    <mergeCell ref="C759:F759"/>
    <mergeCell ref="E171:F171"/>
    <mergeCell ref="E174:F174"/>
    <mergeCell ref="E176:F176"/>
    <mergeCell ref="C181:F181"/>
    <mergeCell ref="E270:F270"/>
    <mergeCell ref="E273:F273"/>
    <mergeCell ref="D252:F252"/>
    <mergeCell ref="E253:F253"/>
    <mergeCell ref="E255:F255"/>
    <mergeCell ref="E257:F257"/>
    <mergeCell ref="D263:F263"/>
    <mergeCell ref="E188:F188"/>
    <mergeCell ref="D196:F196"/>
    <mergeCell ref="E197:F197"/>
    <mergeCell ref="E200:F200"/>
    <mergeCell ref="E204:F204"/>
    <mergeCell ref="D182:F182"/>
    <mergeCell ref="E183:F183"/>
    <mergeCell ref="D245:F245"/>
    <mergeCell ref="E246:F246"/>
    <mergeCell ref="E249:F249"/>
    <mergeCell ref="E264:F264"/>
    <mergeCell ref="D376:F376"/>
    <mergeCell ref="E377:F377"/>
    <mergeCell ref="D340:F340"/>
    <mergeCell ref="E322:F322"/>
    <mergeCell ref="E305:F305"/>
    <mergeCell ref="E367:F367"/>
    <mergeCell ref="D355:F355"/>
    <mergeCell ref="E356:F356"/>
    <mergeCell ref="E360:F360"/>
    <mergeCell ref="C365:F365"/>
    <mergeCell ref="D366:F366"/>
    <mergeCell ref="E370:F370"/>
    <mergeCell ref="C375:F375"/>
    <mergeCell ref="E346:F346"/>
    <mergeCell ref="E348:F348"/>
    <mergeCell ref="D315:F315"/>
    <mergeCell ref="E316:F316"/>
    <mergeCell ref="D292:F292"/>
    <mergeCell ref="E307:F307"/>
    <mergeCell ref="C314:F314"/>
    <mergeCell ref="E324:F324"/>
    <mergeCell ref="D330:F330"/>
    <mergeCell ref="E331:F331"/>
    <mergeCell ref="E335:F335"/>
    <mergeCell ref="B885:F885"/>
    <mergeCell ref="E878:F878"/>
    <mergeCell ref="E777:F777"/>
    <mergeCell ref="D760:F760"/>
    <mergeCell ref="E761:F761"/>
    <mergeCell ref="E663:F663"/>
    <mergeCell ref="C674:F674"/>
    <mergeCell ref="E611:F611"/>
    <mergeCell ref="E598:F598"/>
    <mergeCell ref="D610:F610"/>
    <mergeCell ref="E704:F704"/>
    <mergeCell ref="E623:F623"/>
    <mergeCell ref="E634:F634"/>
    <mergeCell ref="D638:F638"/>
    <mergeCell ref="E639:F639"/>
    <mergeCell ref="E649:F649"/>
    <mergeCell ref="E847:F847"/>
    <mergeCell ref="D652:F652"/>
    <mergeCell ref="E653:F653"/>
    <mergeCell ref="E774:F774"/>
    <mergeCell ref="D675:F675"/>
    <mergeCell ref="E870:F870"/>
    <mergeCell ref="D877:F877"/>
    <mergeCell ref="E834:F834"/>
    <mergeCell ref="E717:F717"/>
    <mergeCell ref="E867:F867"/>
    <mergeCell ref="C817:F817"/>
    <mergeCell ref="D818:F818"/>
    <mergeCell ref="E819:F819"/>
    <mergeCell ref="E824:F824"/>
    <mergeCell ref="E826:F826"/>
    <mergeCell ref="D833:F833"/>
    <mergeCell ref="E845:F845"/>
    <mergeCell ref="E676:F676"/>
    <mergeCell ref="E688:F688"/>
    <mergeCell ref="E691:F691"/>
    <mergeCell ref="D703:F703"/>
    <mergeCell ref="D803:F803"/>
    <mergeCell ref="E804:F804"/>
    <mergeCell ref="E815:F815"/>
    <mergeCell ref="D724:F724"/>
    <mergeCell ref="E619:F619"/>
    <mergeCell ref="D543:F543"/>
    <mergeCell ref="E515:F515"/>
    <mergeCell ref="E496:F496"/>
    <mergeCell ref="D484:F484"/>
    <mergeCell ref="E449:F449"/>
    <mergeCell ref="C505:F505"/>
    <mergeCell ref="D506:F506"/>
    <mergeCell ref="E507:F507"/>
    <mergeCell ref="E513:F513"/>
    <mergeCell ref="D464:F464"/>
    <mergeCell ref="E465:F465"/>
    <mergeCell ref="E473:F473"/>
    <mergeCell ref="E476:F476"/>
    <mergeCell ref="E485:F485"/>
    <mergeCell ref="D457:F457"/>
    <mergeCell ref="E458:F458"/>
    <mergeCell ref="E460:F460"/>
    <mergeCell ref="E421:F421"/>
    <mergeCell ref="E423:F423"/>
    <mergeCell ref="D431:F431"/>
    <mergeCell ref="E432:F432"/>
    <mergeCell ref="E436:F436"/>
    <mergeCell ref="E595:F595"/>
    <mergeCell ref="D416:F416"/>
    <mergeCell ref="C488:F488"/>
    <mergeCell ref="B947:F947"/>
    <mergeCell ref="E544:F544"/>
    <mergeCell ref="E555:F555"/>
    <mergeCell ref="E557:F557"/>
    <mergeCell ref="D524:F524"/>
    <mergeCell ref="E525:F525"/>
    <mergeCell ref="E535:F535"/>
    <mergeCell ref="E537:F537"/>
    <mergeCell ref="D564:F564"/>
    <mergeCell ref="E565:F565"/>
    <mergeCell ref="E578:F578"/>
    <mergeCell ref="D585:F585"/>
    <mergeCell ref="E586:F586"/>
    <mergeCell ref="E576:F576"/>
    <mergeCell ref="D489:F489"/>
    <mergeCell ref="E490:F490"/>
    <mergeCell ref="C948:F948"/>
    <mergeCell ref="C951:F951"/>
    <mergeCell ref="B953:F953"/>
    <mergeCell ref="E881:F881"/>
    <mergeCell ref="D789:F789"/>
    <mergeCell ref="E790:F790"/>
    <mergeCell ref="E799:F799"/>
    <mergeCell ref="B156:F156"/>
    <mergeCell ref="E217:F217"/>
    <mergeCell ref="C157:F157"/>
    <mergeCell ref="E159:F159"/>
    <mergeCell ref="E162:F162"/>
    <mergeCell ref="E164:F164"/>
    <mergeCell ref="D279:F279"/>
    <mergeCell ref="E280:F280"/>
    <mergeCell ref="E239:F239"/>
    <mergeCell ref="D223:F223"/>
    <mergeCell ref="E212:F212"/>
    <mergeCell ref="E215:F215"/>
    <mergeCell ref="E224:F224"/>
    <mergeCell ref="E227:F227"/>
    <mergeCell ref="D235:F235"/>
    <mergeCell ref="E236:F236"/>
    <mergeCell ref="D622:F622"/>
    <mergeCell ref="D125:F125"/>
    <mergeCell ref="E446:F446"/>
    <mergeCell ref="D404:F404"/>
    <mergeCell ref="E405:F405"/>
    <mergeCell ref="E407:F407"/>
    <mergeCell ref="C389:F389"/>
    <mergeCell ref="D390:F390"/>
    <mergeCell ref="E391:F391"/>
    <mergeCell ref="E395:F395"/>
    <mergeCell ref="D445:F445"/>
    <mergeCell ref="E397:F397"/>
    <mergeCell ref="E438:F438"/>
    <mergeCell ref="C444:F444"/>
    <mergeCell ref="E417:F417"/>
    <mergeCell ref="C409:F409"/>
    <mergeCell ref="D410:F410"/>
    <mergeCell ref="E411:F411"/>
    <mergeCell ref="E413:F413"/>
    <mergeCell ref="C415:F415"/>
    <mergeCell ref="D298:F298"/>
    <mergeCell ref="E299:F299"/>
    <mergeCell ref="E285:F285"/>
    <mergeCell ref="E381:F381"/>
    <mergeCell ref="E341:F341"/>
  </mergeCells>
  <conditionalFormatting sqref="G405:H405 G411:H411 G446:H446 I458:L460 M458:N463 I462:L462 I466:N491 I575:N575 I577:N577 I580:N594 I596:N596 M597:N597 I598:N618 I620:N622 I624:N628 M629:N629 I630:N638 I640:N647 M648:N648 I649:N714 M715:N715 I716:N725 G724:H725 M734:N734 M757:N758 I760:N804 I815:N866 I868:N868 I872:N880 I882:N882 M883:N883 I884:N884 I886:N946">
    <cfRule type="cellIs" dxfId="26" priority="7" operator="lessThan">
      <formula>0</formula>
    </cfRule>
  </conditionalFormatting>
  <conditionalFormatting sqref="G458:H458">
    <cfRule type="cellIs" dxfId="25" priority="1" operator="lessThan">
      <formula>0</formula>
    </cfRule>
  </conditionalFormatting>
  <conditionalFormatting sqref="G803:H804 G815:H815">
    <cfRule type="cellIs" dxfId="24" priority="4" operator="lessThan">
      <formula>0</formula>
    </cfRule>
  </conditionalFormatting>
  <conditionalFormatting sqref="G3:I3 J3:N21 G5:I5 G19:I19 M22:N22 J23:N90 G29:I30 G52:I52 G54:I54 G70:I70 G77:I77 G82:I82 G91:N91 J92:N110 G94:I94 K111:N111 J112:N124 G118:I118 G121:I121 M125:N125 J126:N129 G127:I127 G130:N130 G131:I131 J131:N154 G138:I138 G140:I140 G152:I152">
    <cfRule type="cellIs" dxfId="23" priority="15" operator="lessThan">
      <formula>0</formula>
    </cfRule>
  </conditionalFormatting>
  <conditionalFormatting sqref="G952:I952">
    <cfRule type="cellIs" dxfId="22" priority="5" operator="lessThan">
      <formula>0</formula>
    </cfRule>
  </conditionalFormatting>
  <conditionalFormatting sqref="G1:N1">
    <cfRule type="cellIs" dxfId="21" priority="8" operator="lessThan">
      <formula>0</formula>
    </cfRule>
  </conditionalFormatting>
  <conditionalFormatting sqref="G156:N156 I160:N182 G162:H162 G164:H164 G169:H171 G174:H174 G176:H176 G181:H182 G183:N183 I184:N185 M186:N186 I187:N187 I189:N196 G196:H196 I198:N199 G199:H199 G200:N200 I201:N213 G204:H204 G211:H212 N214 G215:H215 I215:N234 G217:H217 G223:H224 G227:H227 G236:N236 I237:N248 G239:H239 G245:H246 I250:N251 G253:H253 I253:N262 G255:H255 G257:H257 G264:H264 I264:N278 G270:H270 G273:H273 G280:H280 I280:N291 G285:H285 G293:N293 I294:N297 G296:H296 G299:H299 I299:N314 G305:H305 G307:H307 G314:H314 G316:H316 I316:N329 G322:H322 G324:H324 G331:N331 I332:N339 G335:H335 G341:N341 I342:N343 M344:N345 G346:H346 I346:N347 G348:N348 I349:N354 G356:H356 I356:N365 G360:H360 G365:H365 G367:H367 I367:N375 G370:H370 G375:H375 G377:H377 I377:N386 G381:H381 G383:H383 N387 I388:N389 G389:H389 G391:N391 I392:N392 M393:N394 G395:H395 I395:N403 G397:H397 I405:N409 G407:H407 G409:H409 I411:N415 G413:H413 G415:H415 G417:H417 I417:N430 G421:H421 G423:H423 G432:H432 I432:N443 G436:H436 G438:H438 G444:N444 I446:N456 G449:H449 G460:H460 G464:N465 G473:H473 G476:H476 G484:H485 G488:H490 M492:N492 I493:N514 G496:H496 G505:H507 G513:H513 G515:N515 I516:N520 M521:N523 G524:H525 I524:N536 G535:H535 G537:N537 G538:H538 I538:N561 G543:H544 G555:H555 G557:H557 M562:N562 I563:N573 G564:H565 M574:N574 G578:N579 G585:H586 G595:N595 G598:H598 G610:H611 G619:N619 G622:H622 G623:N623 G634:H634 G638:H638 G639:N639 G649:H649 G652:H653 G663:H663 G674:H676 G688:H688 G691:H691 G703:H704 G717:H717 G759:N759 G760:H761 G774:H774 G777:H777 G789:H790 G799:H799 G817:H819 G824:H824 G826:H826 G833:H834 G845:H845 G847:H847 G858:H859 G867:N867 G870:N871 G877:H878 G881:N881 G948:N948 I949 J949:N950 J952:N1048576">
    <cfRule type="cellIs" dxfId="20" priority="6" operator="lessThan">
      <formula>0</formula>
    </cfRule>
  </conditionalFormatting>
  <conditionalFormatting sqref="G733:N733 G735:N735">
    <cfRule type="cellIs" dxfId="19" priority="3" operator="lessThan">
      <formula>0</formula>
    </cfRule>
  </conditionalFormatting>
  <conditionalFormatting sqref="G746:N747 G757:N757">
    <cfRule type="cellIs" dxfId="18" priority="2" operator="lessThan">
      <formula>0</formula>
    </cfRule>
  </conditionalFormatting>
  <pageMargins left="0" right="0" top="0" bottom="0" header="0.3" footer="0.3"/>
  <pageSetup paperSize="3" scale="49" fitToHeight="0" orientation="portrait" r:id="rId1"/>
  <ignoredErrors>
    <ignoredError sqref="G88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AE13-8C20-40A9-9D9D-EB54532F1687}">
  <sheetPr>
    <pageSetUpPr fitToPage="1"/>
  </sheetPr>
  <dimension ref="A1:N124"/>
  <sheetViews>
    <sheetView zoomScale="90" zoomScaleNormal="90" workbookViewId="0">
      <pane ySplit="1" topLeftCell="A2" activePane="bottomLeft" state="frozen"/>
      <selection activeCell="N22" sqref="N22"/>
      <selection pane="bottomLeft" sqref="A1:XFD1048576"/>
    </sheetView>
  </sheetViews>
  <sheetFormatPr defaultColWidth="9.33203125" defaultRowHeight="12.75" x14ac:dyDescent="0.2"/>
  <cols>
    <col min="1" max="4" width="5" style="33" customWidth="1"/>
    <col min="5" max="5" width="54.5" style="33" bestFit="1" customWidth="1"/>
    <col min="6" max="11" width="17" style="32" customWidth="1"/>
    <col min="12" max="13" width="17" style="6" customWidth="1"/>
    <col min="14" max="16384" width="9.33203125" style="13"/>
  </cols>
  <sheetData>
    <row r="1" spans="1:13" ht="25.5" customHeight="1" x14ac:dyDescent="0.2">
      <c r="A1" s="285" t="s">
        <v>341</v>
      </c>
      <c r="B1" s="286"/>
      <c r="C1" s="286"/>
      <c r="D1" s="286"/>
      <c r="E1" s="287"/>
      <c r="F1" s="221" t="s">
        <v>1</v>
      </c>
      <c r="G1" s="221" t="s">
        <v>2</v>
      </c>
      <c r="H1" s="221" t="s">
        <v>3</v>
      </c>
      <c r="I1" s="221" t="s">
        <v>4</v>
      </c>
      <c r="J1" s="221" t="s">
        <v>5</v>
      </c>
      <c r="K1" s="221" t="s">
        <v>6</v>
      </c>
      <c r="L1" s="221" t="s">
        <v>7</v>
      </c>
      <c r="M1" s="221" t="s">
        <v>8</v>
      </c>
    </row>
    <row r="2" spans="1:13" x14ac:dyDescent="0.2">
      <c r="A2" s="288" t="s">
        <v>9</v>
      </c>
      <c r="B2" s="288"/>
      <c r="C2" s="288"/>
      <c r="D2" s="288"/>
      <c r="E2" s="288"/>
      <c r="F2" s="7">
        <f>SUM(F3:F28)</f>
        <v>22871709</v>
      </c>
      <c r="G2" s="7">
        <f t="shared" ref="G2:M2" si="0">SUM(G3:G28)</f>
        <v>23121054</v>
      </c>
      <c r="H2" s="7">
        <f t="shared" si="0"/>
        <v>23941528</v>
      </c>
      <c r="I2" s="7">
        <f t="shared" si="0"/>
        <v>26017032</v>
      </c>
      <c r="J2" s="7">
        <f t="shared" si="0"/>
        <v>27136883.609999999</v>
      </c>
      <c r="K2" s="7">
        <f t="shared" si="0"/>
        <v>29182170</v>
      </c>
      <c r="L2" s="7">
        <f t="shared" si="0"/>
        <v>28313054</v>
      </c>
      <c r="M2" s="7">
        <f t="shared" si="0"/>
        <v>31031846</v>
      </c>
    </row>
    <row r="3" spans="1:13" x14ac:dyDescent="0.2">
      <c r="A3" s="45"/>
      <c r="B3" s="249" t="s">
        <v>11</v>
      </c>
      <c r="C3" s="249"/>
      <c r="D3" s="249"/>
      <c r="E3" s="249"/>
      <c r="F3" s="50">
        <v>0</v>
      </c>
      <c r="G3" s="50">
        <v>0</v>
      </c>
      <c r="H3" s="51">
        <v>0</v>
      </c>
      <c r="I3" s="51">
        <v>0</v>
      </c>
      <c r="J3" s="51">
        <v>0</v>
      </c>
      <c r="K3" s="51">
        <v>500000</v>
      </c>
      <c r="L3" s="51">
        <v>0</v>
      </c>
      <c r="M3" s="51">
        <v>1845846</v>
      </c>
    </row>
    <row r="4" spans="1:13" x14ac:dyDescent="0.2">
      <c r="A4" s="45"/>
      <c r="B4" s="249" t="s">
        <v>342</v>
      </c>
      <c r="C4" s="249"/>
      <c r="D4" s="249"/>
      <c r="E4" s="249"/>
      <c r="F4" s="50">
        <v>21346474</v>
      </c>
      <c r="G4" s="50">
        <v>21230248</v>
      </c>
      <c r="H4" s="51">
        <v>22010313</v>
      </c>
      <c r="I4" s="52">
        <v>23430468</v>
      </c>
      <c r="J4" s="52">
        <v>23063844.41</v>
      </c>
      <c r="K4" s="52">
        <v>26299170</v>
      </c>
      <c r="L4" s="51">
        <v>26000000</v>
      </c>
      <c r="M4" s="51">
        <v>26780000</v>
      </c>
    </row>
    <row r="5" spans="1:13" x14ac:dyDescent="0.2">
      <c r="A5" s="45"/>
      <c r="B5" s="249" t="s">
        <v>343</v>
      </c>
      <c r="C5" s="249"/>
      <c r="D5" s="249"/>
      <c r="E5" s="249"/>
      <c r="F5" s="50">
        <v>28071</v>
      </c>
      <c r="G5" s="50">
        <v>27563</v>
      </c>
      <c r="H5" s="51">
        <v>31265</v>
      </c>
      <c r="I5" s="52">
        <v>30782</v>
      </c>
      <c r="J5" s="52">
        <v>1430334.74</v>
      </c>
      <c r="K5" s="52">
        <v>31000</v>
      </c>
      <c r="L5" s="51">
        <v>30000</v>
      </c>
      <c r="M5" s="51">
        <v>31000</v>
      </c>
    </row>
    <row r="6" spans="1:13" x14ac:dyDescent="0.2">
      <c r="A6" s="45"/>
      <c r="B6" s="249" t="s">
        <v>344</v>
      </c>
      <c r="C6" s="249"/>
      <c r="D6" s="249"/>
      <c r="E6" s="249"/>
      <c r="F6" s="50">
        <v>66900</v>
      </c>
      <c r="G6" s="50">
        <v>53251</v>
      </c>
      <c r="H6" s="51">
        <v>9125</v>
      </c>
      <c r="I6" s="52">
        <v>25250</v>
      </c>
      <c r="J6" s="52">
        <v>38750</v>
      </c>
      <c r="K6" s="52">
        <v>35000</v>
      </c>
      <c r="L6" s="51">
        <v>35000</v>
      </c>
      <c r="M6" s="51">
        <v>35000</v>
      </c>
    </row>
    <row r="7" spans="1:13" x14ac:dyDescent="0.2">
      <c r="A7" s="45"/>
      <c r="B7" s="249" t="s">
        <v>345</v>
      </c>
      <c r="C7" s="249"/>
      <c r="D7" s="249"/>
      <c r="E7" s="249"/>
      <c r="F7" s="50">
        <v>50</v>
      </c>
      <c r="G7" s="50">
        <v>7077</v>
      </c>
      <c r="H7" s="51">
        <v>6635</v>
      </c>
      <c r="I7" s="52">
        <v>5810</v>
      </c>
      <c r="J7" s="52">
        <v>0</v>
      </c>
      <c r="K7" s="52">
        <v>0</v>
      </c>
      <c r="L7" s="51">
        <v>0</v>
      </c>
      <c r="M7" s="51">
        <v>0</v>
      </c>
    </row>
    <row r="8" spans="1:13" x14ac:dyDescent="0.2">
      <c r="A8" s="45"/>
      <c r="B8" s="249" t="s">
        <v>346</v>
      </c>
      <c r="C8" s="249"/>
      <c r="D8" s="249"/>
      <c r="E8" s="249"/>
      <c r="F8" s="50">
        <v>37800</v>
      </c>
      <c r="G8" s="50">
        <v>29573</v>
      </c>
      <c r="H8" s="51">
        <v>21737</v>
      </c>
      <c r="I8" s="52">
        <v>30206</v>
      </c>
      <c r="J8" s="52">
        <v>32968.400000000001</v>
      </c>
      <c r="K8" s="52">
        <v>25000</v>
      </c>
      <c r="L8" s="51">
        <v>30000</v>
      </c>
      <c r="M8" s="51">
        <v>32000</v>
      </c>
    </row>
    <row r="9" spans="1:13" x14ac:dyDescent="0.2">
      <c r="A9" s="45"/>
      <c r="B9" s="249" t="s">
        <v>347</v>
      </c>
      <c r="C9" s="249"/>
      <c r="D9" s="249"/>
      <c r="E9" s="249"/>
      <c r="F9" s="50">
        <v>348135</v>
      </c>
      <c r="G9" s="50">
        <v>528296</v>
      </c>
      <c r="H9" s="51">
        <v>555928</v>
      </c>
      <c r="I9" s="52">
        <v>694108</v>
      </c>
      <c r="J9" s="52">
        <v>743743</v>
      </c>
      <c r="K9" s="52">
        <v>600000</v>
      </c>
      <c r="L9" s="51">
        <v>650000</v>
      </c>
      <c r="M9" s="51">
        <v>650000</v>
      </c>
    </row>
    <row r="10" spans="1:13" x14ac:dyDescent="0.2">
      <c r="A10" s="45"/>
      <c r="B10" s="249" t="s">
        <v>348</v>
      </c>
      <c r="C10" s="249"/>
      <c r="D10" s="249"/>
      <c r="E10" s="249"/>
      <c r="F10" s="50">
        <v>345979</v>
      </c>
      <c r="G10" s="50">
        <v>365603</v>
      </c>
      <c r="H10" s="51">
        <v>325193</v>
      </c>
      <c r="I10" s="52">
        <v>373264</v>
      </c>
      <c r="J10" s="52">
        <v>337785</v>
      </c>
      <c r="K10" s="52">
        <v>315000</v>
      </c>
      <c r="L10" s="51">
        <v>340000</v>
      </c>
      <c r="M10" s="51">
        <v>350000</v>
      </c>
    </row>
    <row r="11" spans="1:13" x14ac:dyDescent="0.2">
      <c r="A11" s="45"/>
      <c r="B11" s="249" t="s">
        <v>349</v>
      </c>
      <c r="C11" s="249"/>
      <c r="D11" s="249"/>
      <c r="E11" s="249"/>
      <c r="F11" s="50">
        <v>24767</v>
      </c>
      <c r="G11" s="50">
        <v>27891</v>
      </c>
      <c r="H11" s="51">
        <v>27732</v>
      </c>
      <c r="I11" s="52">
        <v>26818</v>
      </c>
      <c r="J11" s="52">
        <v>19479.71</v>
      </c>
      <c r="K11" s="52">
        <v>24000</v>
      </c>
      <c r="L11" s="51">
        <v>22000</v>
      </c>
      <c r="M11" s="51">
        <v>24000</v>
      </c>
    </row>
    <row r="12" spans="1:13" x14ac:dyDescent="0.2">
      <c r="A12" s="45"/>
      <c r="B12" s="249" t="s">
        <v>350</v>
      </c>
      <c r="C12" s="249"/>
      <c r="D12" s="249"/>
      <c r="E12" s="249"/>
      <c r="F12" s="50">
        <v>0</v>
      </c>
      <c r="G12" s="50">
        <v>114198</v>
      </c>
      <c r="H12" s="51">
        <v>152300</v>
      </c>
      <c r="I12" s="52">
        <v>630159</v>
      </c>
      <c r="J12" s="52">
        <v>640079.5</v>
      </c>
      <c r="K12" s="52">
        <v>500000</v>
      </c>
      <c r="L12" s="51">
        <v>450000</v>
      </c>
      <c r="M12" s="51">
        <v>500000</v>
      </c>
    </row>
    <row r="13" spans="1:13" x14ac:dyDescent="0.2">
      <c r="A13" s="45"/>
      <c r="B13" s="249" t="s">
        <v>351</v>
      </c>
      <c r="C13" s="249"/>
      <c r="D13" s="249"/>
      <c r="E13" s="249"/>
      <c r="F13" s="50">
        <v>0</v>
      </c>
      <c r="G13" s="50">
        <v>0</v>
      </c>
      <c r="H13" s="51">
        <v>0</v>
      </c>
      <c r="I13" s="52">
        <v>0</v>
      </c>
      <c r="J13" s="52">
        <v>0</v>
      </c>
      <c r="K13" s="52">
        <v>15000</v>
      </c>
      <c r="L13" s="51">
        <v>0</v>
      </c>
      <c r="M13" s="51">
        <v>0</v>
      </c>
    </row>
    <row r="14" spans="1:13" x14ac:dyDescent="0.2">
      <c r="A14" s="45"/>
      <c r="B14" s="249" t="s">
        <v>352</v>
      </c>
      <c r="C14" s="249"/>
      <c r="D14" s="249"/>
      <c r="E14" s="249"/>
      <c r="F14" s="50">
        <v>0</v>
      </c>
      <c r="G14" s="50">
        <v>0</v>
      </c>
      <c r="H14" s="51">
        <v>0</v>
      </c>
      <c r="I14" s="52">
        <v>0</v>
      </c>
      <c r="J14" s="52">
        <v>0</v>
      </c>
      <c r="K14" s="52">
        <v>15000</v>
      </c>
      <c r="L14" s="51">
        <v>0</v>
      </c>
      <c r="M14" s="51">
        <v>0</v>
      </c>
    </row>
    <row r="15" spans="1:13" x14ac:dyDescent="0.2">
      <c r="A15" s="45"/>
      <c r="B15" s="249" t="s">
        <v>353</v>
      </c>
      <c r="C15" s="249"/>
      <c r="D15" s="249"/>
      <c r="E15" s="249"/>
      <c r="F15" s="50">
        <v>0</v>
      </c>
      <c r="G15" s="50">
        <v>0</v>
      </c>
      <c r="H15" s="51">
        <v>0</v>
      </c>
      <c r="I15" s="52">
        <v>0</v>
      </c>
      <c r="J15" s="52">
        <v>0</v>
      </c>
      <c r="K15" s="52">
        <v>50000</v>
      </c>
      <c r="L15" s="51">
        <v>0</v>
      </c>
      <c r="M15" s="51">
        <v>0</v>
      </c>
    </row>
    <row r="16" spans="1:13" x14ac:dyDescent="0.2">
      <c r="A16" s="45"/>
      <c r="B16" s="249" t="s">
        <v>354</v>
      </c>
      <c r="C16" s="249"/>
      <c r="D16" s="249"/>
      <c r="E16" s="249"/>
      <c r="F16" s="50">
        <v>2691</v>
      </c>
      <c r="G16" s="50">
        <v>1137</v>
      </c>
      <c r="H16" s="51">
        <v>10985</v>
      </c>
      <c r="I16" s="52">
        <v>96684</v>
      </c>
      <c r="J16" s="52">
        <v>32097.35</v>
      </c>
      <c r="K16" s="52">
        <v>45000</v>
      </c>
      <c r="L16" s="51">
        <v>50000</v>
      </c>
      <c r="M16" s="51">
        <v>50000</v>
      </c>
    </row>
    <row r="17" spans="1:14" x14ac:dyDescent="0.2">
      <c r="A17" s="45"/>
      <c r="B17" s="249" t="s">
        <v>131</v>
      </c>
      <c r="C17" s="249"/>
      <c r="D17" s="249"/>
      <c r="E17" s="249"/>
      <c r="F17" s="50">
        <v>65885</v>
      </c>
      <c r="G17" s="50">
        <v>43901</v>
      </c>
      <c r="H17" s="51">
        <v>26278</v>
      </c>
      <c r="I17" s="52">
        <v>17846</v>
      </c>
      <c r="J17" s="52">
        <v>39444</v>
      </c>
      <c r="K17" s="52">
        <v>38000</v>
      </c>
      <c r="L17" s="51">
        <v>38000</v>
      </c>
      <c r="M17" s="51">
        <v>40000</v>
      </c>
    </row>
    <row r="18" spans="1:14" x14ac:dyDescent="0.2">
      <c r="A18" s="45"/>
      <c r="B18" s="249" t="s">
        <v>132</v>
      </c>
      <c r="C18" s="249"/>
      <c r="D18" s="249"/>
      <c r="E18" s="249"/>
      <c r="F18" s="50">
        <v>26704</v>
      </c>
      <c r="G18" s="50">
        <v>23345</v>
      </c>
      <c r="H18" s="51">
        <v>28841</v>
      </c>
      <c r="I18" s="52">
        <v>27376</v>
      </c>
      <c r="J18" s="52">
        <v>35760</v>
      </c>
      <c r="K18" s="52">
        <v>15000</v>
      </c>
      <c r="L18" s="51">
        <v>45000</v>
      </c>
      <c r="M18" s="51">
        <v>45000</v>
      </c>
    </row>
    <row r="19" spans="1:14" x14ac:dyDescent="0.2">
      <c r="A19" s="45"/>
      <c r="B19" s="249" t="s">
        <v>355</v>
      </c>
      <c r="C19" s="249"/>
      <c r="D19" s="249"/>
      <c r="E19" s="249"/>
      <c r="F19" s="50">
        <v>33348</v>
      </c>
      <c r="G19" s="50">
        <v>41600</v>
      </c>
      <c r="H19" s="51">
        <v>30000</v>
      </c>
      <c r="I19" s="52">
        <v>27065</v>
      </c>
      <c r="J19" s="52">
        <v>63890.5</v>
      </c>
      <c r="K19" s="52">
        <v>30000</v>
      </c>
      <c r="L19" s="51">
        <v>30000</v>
      </c>
      <c r="M19" s="51">
        <v>30000</v>
      </c>
    </row>
    <row r="20" spans="1:14" x14ac:dyDescent="0.2">
      <c r="A20" s="45"/>
      <c r="B20" s="249" t="s">
        <v>356</v>
      </c>
      <c r="C20" s="249"/>
      <c r="D20" s="249"/>
      <c r="E20" s="249"/>
      <c r="F20" s="50">
        <v>11579</v>
      </c>
      <c r="G20" s="50">
        <v>25603</v>
      </c>
      <c r="H20" s="51">
        <v>16937</v>
      </c>
      <c r="I20" s="52">
        <v>12784</v>
      </c>
      <c r="J20" s="52">
        <v>20575</v>
      </c>
      <c r="K20" s="52">
        <v>18000</v>
      </c>
      <c r="L20" s="51">
        <v>18000</v>
      </c>
      <c r="M20" s="51">
        <v>18000</v>
      </c>
    </row>
    <row r="21" spans="1:14" x14ac:dyDescent="0.2">
      <c r="A21" s="45"/>
      <c r="B21" s="249" t="s">
        <v>357</v>
      </c>
      <c r="C21" s="249"/>
      <c r="D21" s="249"/>
      <c r="E21" s="249"/>
      <c r="F21" s="50">
        <v>79300</v>
      </c>
      <c r="G21" s="50">
        <v>55375</v>
      </c>
      <c r="H21" s="51">
        <v>132762</v>
      </c>
      <c r="I21" s="52">
        <v>33000</v>
      </c>
      <c r="J21" s="52">
        <v>68000</v>
      </c>
      <c r="K21" s="52">
        <v>45000</v>
      </c>
      <c r="L21" s="51">
        <v>75000</v>
      </c>
      <c r="M21" s="51">
        <v>75000</v>
      </c>
    </row>
    <row r="22" spans="1:14" x14ac:dyDescent="0.2">
      <c r="A22" s="45"/>
      <c r="B22" s="249" t="s">
        <v>358</v>
      </c>
      <c r="C22" s="249"/>
      <c r="D22" s="249"/>
      <c r="E22" s="249"/>
      <c r="F22" s="50">
        <v>285500</v>
      </c>
      <c r="G22" s="50">
        <v>356659</v>
      </c>
      <c r="H22" s="51">
        <v>349035</v>
      </c>
      <c r="I22" s="52">
        <v>362669</v>
      </c>
      <c r="J22" s="52">
        <v>353482</v>
      </c>
      <c r="K22" s="52">
        <v>370000</v>
      </c>
      <c r="L22" s="51">
        <v>370054</v>
      </c>
      <c r="M22" s="51">
        <v>371000</v>
      </c>
    </row>
    <row r="23" spans="1:14" x14ac:dyDescent="0.2">
      <c r="A23" s="45"/>
      <c r="B23" s="249" t="s">
        <v>359</v>
      </c>
      <c r="C23" s="249"/>
      <c r="D23" s="249"/>
      <c r="E23" s="249"/>
      <c r="F23" s="50">
        <v>17485</v>
      </c>
      <c r="G23" s="50">
        <v>26318</v>
      </c>
      <c r="H23" s="51">
        <v>14969</v>
      </c>
      <c r="I23" s="52">
        <v>34886</v>
      </c>
      <c r="J23" s="52">
        <v>0</v>
      </c>
      <c r="K23" s="52">
        <v>35000</v>
      </c>
      <c r="L23" s="51">
        <v>25000</v>
      </c>
      <c r="M23" s="51">
        <v>25000</v>
      </c>
    </row>
    <row r="24" spans="1:14" x14ac:dyDescent="0.2">
      <c r="A24" s="45"/>
      <c r="B24" s="249" t="s">
        <v>136</v>
      </c>
      <c r="C24" s="249"/>
      <c r="D24" s="249"/>
      <c r="E24" s="249"/>
      <c r="F24" s="50">
        <v>21510</v>
      </c>
      <c r="G24" s="50">
        <v>64059</v>
      </c>
      <c r="H24" s="51">
        <v>4984</v>
      </c>
      <c r="I24" s="52">
        <v>0</v>
      </c>
      <c r="J24" s="52">
        <v>31656</v>
      </c>
      <c r="K24" s="52">
        <v>25000</v>
      </c>
      <c r="L24" s="51">
        <v>10000</v>
      </c>
      <c r="M24" s="51">
        <v>10000</v>
      </c>
    </row>
    <row r="25" spans="1:14" x14ac:dyDescent="0.2">
      <c r="A25" s="45"/>
      <c r="B25" s="249" t="s">
        <v>150</v>
      </c>
      <c r="C25" s="249"/>
      <c r="D25" s="249"/>
      <c r="E25" s="249"/>
      <c r="F25" s="50">
        <v>90399</v>
      </c>
      <c r="G25" s="50">
        <v>34230</v>
      </c>
      <c r="H25" s="51">
        <v>116768</v>
      </c>
      <c r="I25" s="52">
        <v>106598</v>
      </c>
      <c r="J25" s="52">
        <v>133595</v>
      </c>
      <c r="K25" s="52">
        <v>100000</v>
      </c>
      <c r="L25" s="51">
        <v>50000</v>
      </c>
      <c r="M25" s="51">
        <v>75000</v>
      </c>
    </row>
    <row r="26" spans="1:14" x14ac:dyDescent="0.2">
      <c r="A26" s="45"/>
      <c r="B26" s="282" t="s">
        <v>360</v>
      </c>
      <c r="C26" s="283"/>
      <c r="D26" s="283"/>
      <c r="E26" s="284"/>
      <c r="F26" s="50">
        <v>0</v>
      </c>
      <c r="G26" s="50">
        <v>0</v>
      </c>
      <c r="H26" s="51">
        <v>0</v>
      </c>
      <c r="I26" s="52">
        <v>0</v>
      </c>
      <c r="J26" s="52">
        <v>0</v>
      </c>
      <c r="K26" s="52">
        <v>0</v>
      </c>
      <c r="L26" s="51">
        <v>0</v>
      </c>
      <c r="M26" s="51">
        <v>0</v>
      </c>
    </row>
    <row r="27" spans="1:14" x14ac:dyDescent="0.2">
      <c r="A27" s="45"/>
      <c r="B27" s="249" t="s">
        <v>58</v>
      </c>
      <c r="C27" s="249"/>
      <c r="D27" s="249"/>
      <c r="E27" s="249"/>
      <c r="F27" s="50">
        <v>34737</v>
      </c>
      <c r="G27" s="50">
        <v>65127</v>
      </c>
      <c r="H27" s="51">
        <v>69741</v>
      </c>
      <c r="I27" s="52">
        <v>51259</v>
      </c>
      <c r="J27" s="52">
        <v>51399</v>
      </c>
      <c r="K27" s="52">
        <v>52000</v>
      </c>
      <c r="L27" s="51">
        <v>45000</v>
      </c>
      <c r="M27" s="51">
        <v>45000</v>
      </c>
    </row>
    <row r="28" spans="1:14" x14ac:dyDescent="0.2">
      <c r="A28" s="45"/>
      <c r="B28" s="249" t="s">
        <v>57</v>
      </c>
      <c r="C28" s="249"/>
      <c r="D28" s="249"/>
      <c r="E28" s="249"/>
      <c r="F28" s="50">
        <v>4395</v>
      </c>
      <c r="G28" s="50">
        <v>0</v>
      </c>
      <c r="H28" s="51">
        <v>0</v>
      </c>
      <c r="I28" s="52">
        <v>0</v>
      </c>
      <c r="J28" s="52">
        <v>0</v>
      </c>
      <c r="K28" s="52">
        <v>0</v>
      </c>
      <c r="L28" s="51">
        <v>0</v>
      </c>
      <c r="M28" s="51">
        <v>0</v>
      </c>
    </row>
    <row r="29" spans="1:14" x14ac:dyDescent="0.2">
      <c r="A29" s="289" t="s">
        <v>161</v>
      </c>
      <c r="B29" s="289"/>
      <c r="C29" s="289"/>
      <c r="D29" s="289"/>
      <c r="E29" s="289"/>
      <c r="F29" s="10">
        <f t="shared" ref="F29:M29" si="1">F30+F110+F122</f>
        <v>14293177.379999999</v>
      </c>
      <c r="G29" s="10">
        <f t="shared" si="1"/>
        <v>22824486.449999999</v>
      </c>
      <c r="H29" s="10">
        <f t="shared" si="1"/>
        <v>24657936.93</v>
      </c>
      <c r="I29" s="10">
        <f t="shared" si="1"/>
        <v>27502521.620000001</v>
      </c>
      <c r="J29" s="10">
        <f t="shared" si="1"/>
        <v>26716716.779999997</v>
      </c>
      <c r="K29" s="10">
        <f t="shared" si="1"/>
        <v>29182170</v>
      </c>
      <c r="L29" s="10">
        <f t="shared" si="1"/>
        <v>27048275</v>
      </c>
      <c r="M29" s="10">
        <f t="shared" si="1"/>
        <v>31030846</v>
      </c>
    </row>
    <row r="30" spans="1:14" x14ac:dyDescent="0.2">
      <c r="A30" s="34"/>
      <c r="B30" s="200" t="s">
        <v>361</v>
      </c>
      <c r="C30" s="200"/>
      <c r="D30" s="200"/>
      <c r="E30" s="200"/>
      <c r="F30" s="12">
        <f>F31+F43+F53+F76+F86</f>
        <v>9822282</v>
      </c>
      <c r="G30" s="12">
        <f t="shared" ref="G30:M30" si="2">G31+G43+G53+G76+G86</f>
        <v>9645353</v>
      </c>
      <c r="H30" s="12">
        <f t="shared" si="2"/>
        <v>9719524</v>
      </c>
      <c r="I30" s="12">
        <f t="shared" si="2"/>
        <v>11105011</v>
      </c>
      <c r="J30" s="12">
        <f t="shared" si="2"/>
        <v>11727804.629999999</v>
      </c>
      <c r="K30" s="12">
        <f t="shared" si="2"/>
        <v>14672378</v>
      </c>
      <c r="L30" s="12">
        <f t="shared" si="2"/>
        <v>12538483</v>
      </c>
      <c r="M30" s="12">
        <f t="shared" si="2"/>
        <v>15735557</v>
      </c>
    </row>
    <row r="31" spans="1:14" x14ac:dyDescent="0.2">
      <c r="A31" s="34"/>
      <c r="B31" s="200"/>
      <c r="C31" s="290" t="s">
        <v>362</v>
      </c>
      <c r="D31" s="291"/>
      <c r="E31" s="292"/>
      <c r="F31" s="39">
        <f t="shared" ref="F31" si="3">F32+F37+F39</f>
        <v>220192</v>
      </c>
      <c r="G31" s="39">
        <f t="shared" ref="G31" si="4">G32+G37+G39</f>
        <v>196873</v>
      </c>
      <c r="H31" s="39">
        <f t="shared" ref="H31" si="5">H32+H37+H39</f>
        <v>142044</v>
      </c>
      <c r="I31" s="39">
        <f t="shared" ref="I31:M31" si="6">I32+I37+I39</f>
        <v>144165</v>
      </c>
      <c r="J31" s="39">
        <f t="shared" si="6"/>
        <v>123531.55999999998</v>
      </c>
      <c r="K31" s="39">
        <f t="shared" si="6"/>
        <v>155084</v>
      </c>
      <c r="L31" s="39">
        <f t="shared" si="6"/>
        <v>158427</v>
      </c>
      <c r="M31" s="39">
        <f t="shared" si="6"/>
        <v>203720</v>
      </c>
    </row>
    <row r="32" spans="1:14" ht="12.75" customHeight="1" x14ac:dyDescent="0.2">
      <c r="B32" s="35"/>
      <c r="C32" s="198"/>
      <c r="D32" s="277" t="s">
        <v>164</v>
      </c>
      <c r="E32" s="278"/>
      <c r="F32" s="40">
        <f t="shared" ref="F32:M32" si="7">SUM(F33:F36)</f>
        <v>214546</v>
      </c>
      <c r="G32" s="40">
        <f t="shared" si="7"/>
        <v>191530</v>
      </c>
      <c r="H32" s="40">
        <f t="shared" si="7"/>
        <v>139431</v>
      </c>
      <c r="I32" s="40">
        <f t="shared" si="7"/>
        <v>143410</v>
      </c>
      <c r="J32" s="40">
        <f t="shared" si="7"/>
        <v>123123.55999999998</v>
      </c>
      <c r="K32" s="40">
        <f t="shared" si="7"/>
        <v>152884</v>
      </c>
      <c r="L32" s="40">
        <f t="shared" si="7"/>
        <v>158427</v>
      </c>
      <c r="M32" s="40">
        <f t="shared" si="7"/>
        <v>202970</v>
      </c>
      <c r="N32" s="29"/>
    </row>
    <row r="33" spans="2:14" x14ac:dyDescent="0.2">
      <c r="B33" s="35"/>
      <c r="C33" s="35"/>
      <c r="D33" s="35"/>
      <c r="E33" s="36" t="s">
        <v>165</v>
      </c>
      <c r="F33" s="49">
        <v>209315</v>
      </c>
      <c r="G33" s="49">
        <v>170501</v>
      </c>
      <c r="H33" s="49">
        <v>122597</v>
      </c>
      <c r="I33" s="41">
        <v>115316</v>
      </c>
      <c r="J33" s="41">
        <v>104994.26</v>
      </c>
      <c r="K33" s="41">
        <v>152884</v>
      </c>
      <c r="L33" s="41">
        <v>153131</v>
      </c>
      <c r="M33" s="41">
        <v>197670</v>
      </c>
      <c r="N33" s="29"/>
    </row>
    <row r="34" spans="2:14" x14ac:dyDescent="0.2">
      <c r="B34" s="35"/>
      <c r="C34" s="35"/>
      <c r="D34" s="35"/>
      <c r="E34" s="36" t="s">
        <v>190</v>
      </c>
      <c r="F34" s="49">
        <v>5006</v>
      </c>
      <c r="G34" s="49">
        <v>12993</v>
      </c>
      <c r="H34" s="49">
        <v>7219</v>
      </c>
      <c r="I34" s="41">
        <v>10054</v>
      </c>
      <c r="J34" s="41">
        <v>4171.79</v>
      </c>
      <c r="K34" s="41">
        <v>0</v>
      </c>
      <c r="L34" s="41">
        <v>3499</v>
      </c>
      <c r="M34" s="41">
        <v>3500</v>
      </c>
      <c r="N34" s="29"/>
    </row>
    <row r="35" spans="2:14" x14ac:dyDescent="0.2">
      <c r="B35" s="35"/>
      <c r="C35" s="35"/>
      <c r="D35" s="35"/>
      <c r="E35" s="36" t="s">
        <v>178</v>
      </c>
      <c r="F35" s="49">
        <v>0</v>
      </c>
      <c r="G35" s="49">
        <v>7811</v>
      </c>
      <c r="H35" s="49">
        <v>9615</v>
      </c>
      <c r="I35" s="41">
        <v>18040</v>
      </c>
      <c r="J35" s="41">
        <v>13957.51</v>
      </c>
      <c r="K35" s="41">
        <v>0</v>
      </c>
      <c r="L35" s="41">
        <v>1797</v>
      </c>
      <c r="M35" s="41">
        <v>1800</v>
      </c>
      <c r="N35" s="29"/>
    </row>
    <row r="36" spans="2:14" x14ac:dyDescent="0.2">
      <c r="B36" s="35"/>
      <c r="C36" s="35"/>
      <c r="D36" s="35"/>
      <c r="E36" s="36" t="s">
        <v>225</v>
      </c>
      <c r="F36" s="49">
        <v>225</v>
      </c>
      <c r="G36" s="49">
        <v>225</v>
      </c>
      <c r="H36" s="49">
        <v>0</v>
      </c>
      <c r="I36" s="41">
        <v>0</v>
      </c>
      <c r="J36" s="41">
        <v>0</v>
      </c>
      <c r="K36" s="41">
        <v>0</v>
      </c>
      <c r="L36" s="41">
        <v>0</v>
      </c>
      <c r="M36" s="41">
        <v>0</v>
      </c>
      <c r="N36" s="29"/>
    </row>
    <row r="37" spans="2:14" ht="12.75" customHeight="1" x14ac:dyDescent="0.2">
      <c r="B37" s="35"/>
      <c r="C37" s="198"/>
      <c r="D37" s="277" t="s">
        <v>194</v>
      </c>
      <c r="E37" s="278"/>
      <c r="F37" s="42">
        <f t="shared" ref="F37" si="8">F38</f>
        <v>0</v>
      </c>
      <c r="G37" s="42">
        <f t="shared" ref="G37" si="9">G38</f>
        <v>1413</v>
      </c>
      <c r="H37" s="42">
        <f t="shared" ref="H37" si="10">H38</f>
        <v>1425</v>
      </c>
      <c r="I37" s="42">
        <f t="shared" ref="I37:M37" si="11">I38</f>
        <v>0</v>
      </c>
      <c r="J37" s="42">
        <f t="shared" si="11"/>
        <v>408</v>
      </c>
      <c r="K37" s="42">
        <f t="shared" si="11"/>
        <v>1700</v>
      </c>
      <c r="L37" s="42">
        <f t="shared" si="11"/>
        <v>0</v>
      </c>
      <c r="M37" s="42">
        <f t="shared" si="11"/>
        <v>750</v>
      </c>
      <c r="N37" s="29"/>
    </row>
    <row r="38" spans="2:14" x14ac:dyDescent="0.2">
      <c r="B38" s="35"/>
      <c r="C38" s="35"/>
      <c r="D38" s="35"/>
      <c r="E38" s="37" t="s">
        <v>168</v>
      </c>
      <c r="F38" s="103">
        <v>0</v>
      </c>
      <c r="G38" s="103">
        <v>1413</v>
      </c>
      <c r="H38" s="103">
        <v>1425</v>
      </c>
      <c r="I38" s="41">
        <v>0</v>
      </c>
      <c r="J38" s="41">
        <v>408</v>
      </c>
      <c r="K38" s="41">
        <v>1700</v>
      </c>
      <c r="L38" s="41">
        <v>0</v>
      </c>
      <c r="M38" s="41">
        <v>750</v>
      </c>
      <c r="N38" s="29"/>
    </row>
    <row r="39" spans="2:14" ht="12.75" customHeight="1" x14ac:dyDescent="0.2">
      <c r="B39" s="35"/>
      <c r="C39" s="198"/>
      <c r="D39" s="277" t="s">
        <v>175</v>
      </c>
      <c r="E39" s="278"/>
      <c r="F39" s="42">
        <f t="shared" ref="F39" si="12">SUM(F40:F42)</f>
        <v>5646</v>
      </c>
      <c r="G39" s="42">
        <f t="shared" ref="G39" si="13">SUM(G40:G42)</f>
        <v>3930</v>
      </c>
      <c r="H39" s="42">
        <f t="shared" ref="H39" si="14">SUM(H40:H42)</f>
        <v>1188</v>
      </c>
      <c r="I39" s="42">
        <f t="shared" ref="I39:M39" si="15">SUM(I40:I42)</f>
        <v>755</v>
      </c>
      <c r="J39" s="42">
        <f t="shared" si="15"/>
        <v>0</v>
      </c>
      <c r="K39" s="42">
        <f t="shared" si="15"/>
        <v>500</v>
      </c>
      <c r="L39" s="42">
        <f t="shared" si="15"/>
        <v>0</v>
      </c>
      <c r="M39" s="42">
        <f t="shared" si="15"/>
        <v>0</v>
      </c>
      <c r="N39" s="29"/>
    </row>
    <row r="40" spans="2:14" x14ac:dyDescent="0.2">
      <c r="B40" s="35"/>
      <c r="C40" s="35"/>
      <c r="D40" s="35"/>
      <c r="E40" s="36" t="s">
        <v>170</v>
      </c>
      <c r="F40" s="49">
        <v>2550</v>
      </c>
      <c r="G40" s="49">
        <v>720</v>
      </c>
      <c r="H40" s="49">
        <v>1157</v>
      </c>
      <c r="I40" s="41">
        <v>500</v>
      </c>
      <c r="J40" s="41">
        <v>0</v>
      </c>
      <c r="K40" s="41">
        <v>0</v>
      </c>
      <c r="L40" s="41">
        <v>0</v>
      </c>
      <c r="M40" s="41">
        <v>0</v>
      </c>
      <c r="N40" s="29"/>
    </row>
    <row r="41" spans="2:14" x14ac:dyDescent="0.2">
      <c r="B41" s="35"/>
      <c r="C41" s="35"/>
      <c r="D41" s="35"/>
      <c r="E41" s="36" t="s">
        <v>171</v>
      </c>
      <c r="F41" s="49">
        <v>3096</v>
      </c>
      <c r="G41" s="49">
        <v>3210</v>
      </c>
      <c r="H41" s="49">
        <v>31</v>
      </c>
      <c r="I41" s="41">
        <v>255</v>
      </c>
      <c r="J41" s="41">
        <v>0</v>
      </c>
      <c r="K41" s="41">
        <v>0</v>
      </c>
      <c r="L41" s="41">
        <v>0</v>
      </c>
      <c r="M41" s="41">
        <v>0</v>
      </c>
      <c r="N41" s="29"/>
    </row>
    <row r="42" spans="2:14" x14ac:dyDescent="0.2">
      <c r="B42" s="35"/>
      <c r="C42" s="35"/>
      <c r="D42" s="35"/>
      <c r="E42" s="36" t="s">
        <v>173</v>
      </c>
      <c r="F42" s="49">
        <v>0</v>
      </c>
      <c r="G42" s="49">
        <v>0</v>
      </c>
      <c r="H42" s="49">
        <v>0</v>
      </c>
      <c r="I42" s="41">
        <v>0</v>
      </c>
      <c r="J42" s="41">
        <v>0</v>
      </c>
      <c r="K42" s="41">
        <v>500</v>
      </c>
      <c r="L42" s="41">
        <v>0</v>
      </c>
      <c r="M42" s="41">
        <v>0</v>
      </c>
      <c r="N42" s="29"/>
    </row>
    <row r="43" spans="2:14" ht="12.75" customHeight="1" x14ac:dyDescent="0.2">
      <c r="B43" s="199"/>
      <c r="C43" s="279" t="s">
        <v>363</v>
      </c>
      <c r="D43" s="280"/>
      <c r="E43" s="281"/>
      <c r="F43" s="39">
        <f t="shared" ref="F43:H43" si="16">F44+F48+F50</f>
        <v>715859</v>
      </c>
      <c r="G43" s="39">
        <f t="shared" si="16"/>
        <v>748479</v>
      </c>
      <c r="H43" s="39">
        <f t="shared" si="16"/>
        <v>739730</v>
      </c>
      <c r="I43" s="39">
        <f>I44+I48+I50</f>
        <v>1068215</v>
      </c>
      <c r="J43" s="39">
        <f t="shared" ref="J43:L43" si="17">J44+J48+J50</f>
        <v>1278590.03</v>
      </c>
      <c r="K43" s="39">
        <f t="shared" si="17"/>
        <v>1503104</v>
      </c>
      <c r="L43" s="39">
        <f t="shared" si="17"/>
        <v>1008412</v>
      </c>
      <c r="M43" s="39">
        <f>M44+M48+M50</f>
        <v>2110782</v>
      </c>
    </row>
    <row r="44" spans="2:14" ht="12.75" customHeight="1" x14ac:dyDescent="0.2">
      <c r="B44" s="35"/>
      <c r="C44" s="198"/>
      <c r="D44" s="277" t="s">
        <v>164</v>
      </c>
      <c r="E44" s="278"/>
      <c r="F44" s="40">
        <f t="shared" ref="F44:H44" si="18">SUM(F45:F47)</f>
        <v>411987</v>
      </c>
      <c r="G44" s="40">
        <f t="shared" si="18"/>
        <v>360250</v>
      </c>
      <c r="H44" s="40">
        <f t="shared" si="18"/>
        <v>368276</v>
      </c>
      <c r="I44" s="40">
        <f>SUM(I45:I47)</f>
        <v>452966</v>
      </c>
      <c r="J44" s="40">
        <f t="shared" ref="J44:M44" si="19">SUM(J45:J47)</f>
        <v>434603.85</v>
      </c>
      <c r="K44" s="40">
        <f t="shared" si="19"/>
        <v>686894</v>
      </c>
      <c r="L44" s="40">
        <f t="shared" si="19"/>
        <v>510591</v>
      </c>
      <c r="M44" s="40">
        <f t="shared" si="19"/>
        <v>695372</v>
      </c>
      <c r="N44" s="29"/>
    </row>
    <row r="45" spans="2:14" x14ac:dyDescent="0.2">
      <c r="B45" s="35"/>
      <c r="C45" s="35"/>
      <c r="D45" s="35"/>
      <c r="E45" s="36" t="s">
        <v>165</v>
      </c>
      <c r="F45" s="49">
        <v>411987</v>
      </c>
      <c r="G45" s="49">
        <v>359703</v>
      </c>
      <c r="H45" s="49">
        <v>360541</v>
      </c>
      <c r="I45" s="41">
        <v>436974</v>
      </c>
      <c r="J45" s="41">
        <v>423740.99</v>
      </c>
      <c r="K45" s="41">
        <v>681894</v>
      </c>
      <c r="L45" s="41">
        <v>509041</v>
      </c>
      <c r="M45" s="41">
        <v>689822</v>
      </c>
      <c r="N45" s="29"/>
    </row>
    <row r="46" spans="2:14" x14ac:dyDescent="0.2">
      <c r="B46" s="35"/>
      <c r="C46" s="35"/>
      <c r="D46" s="35"/>
      <c r="E46" s="36" t="s">
        <v>190</v>
      </c>
      <c r="F46" s="49">
        <v>0</v>
      </c>
      <c r="G46" s="49">
        <v>547</v>
      </c>
      <c r="H46" s="49">
        <v>7735</v>
      </c>
      <c r="I46" s="41">
        <v>15442</v>
      </c>
      <c r="J46" s="41">
        <v>10312.86</v>
      </c>
      <c r="K46" s="41">
        <v>5000</v>
      </c>
      <c r="L46" s="41">
        <v>1000</v>
      </c>
      <c r="M46" s="41">
        <v>5000</v>
      </c>
      <c r="N46" s="29"/>
    </row>
    <row r="47" spans="2:14" x14ac:dyDescent="0.2">
      <c r="B47" s="35"/>
      <c r="C47" s="35"/>
      <c r="D47" s="35"/>
      <c r="E47" s="36" t="s">
        <v>225</v>
      </c>
      <c r="F47" s="49">
        <v>0</v>
      </c>
      <c r="G47" s="49">
        <v>0</v>
      </c>
      <c r="H47" s="49">
        <v>0</v>
      </c>
      <c r="I47" s="41">
        <v>550</v>
      </c>
      <c r="J47" s="41">
        <v>550</v>
      </c>
      <c r="K47" s="41">
        <v>0</v>
      </c>
      <c r="L47" s="41">
        <v>550</v>
      </c>
      <c r="M47" s="41">
        <v>550</v>
      </c>
      <c r="N47" s="29"/>
    </row>
    <row r="48" spans="2:14" ht="12.75" customHeight="1" x14ac:dyDescent="0.2">
      <c r="B48" s="35"/>
      <c r="C48" s="198"/>
      <c r="D48" s="277" t="s">
        <v>194</v>
      </c>
      <c r="E48" s="278"/>
      <c r="F48" s="42">
        <f t="shared" ref="F48:H48" si="20">F49</f>
        <v>0</v>
      </c>
      <c r="G48" s="42">
        <f t="shared" si="20"/>
        <v>0</v>
      </c>
      <c r="H48" s="42">
        <f t="shared" si="20"/>
        <v>2369</v>
      </c>
      <c r="I48" s="42">
        <f>I49</f>
        <v>1500</v>
      </c>
      <c r="J48" s="42">
        <f t="shared" ref="J48:M48" si="21">J49</f>
        <v>5000</v>
      </c>
      <c r="K48" s="42">
        <f t="shared" si="21"/>
        <v>5000</v>
      </c>
      <c r="L48" s="42">
        <f t="shared" si="21"/>
        <v>3000</v>
      </c>
      <c r="M48" s="42">
        <f t="shared" si="21"/>
        <v>5000</v>
      </c>
      <c r="N48" s="29"/>
    </row>
    <row r="49" spans="2:14" x14ac:dyDescent="0.2">
      <c r="B49" s="35"/>
      <c r="C49" s="35"/>
      <c r="D49" s="35"/>
      <c r="E49" s="37" t="s">
        <v>168</v>
      </c>
      <c r="F49" s="103">
        <v>0</v>
      </c>
      <c r="G49" s="103">
        <v>0</v>
      </c>
      <c r="H49" s="103">
        <v>2369</v>
      </c>
      <c r="I49" s="41">
        <v>1500</v>
      </c>
      <c r="J49" s="41">
        <v>5000</v>
      </c>
      <c r="K49" s="41">
        <v>5000</v>
      </c>
      <c r="L49" s="41">
        <v>3000</v>
      </c>
      <c r="M49" s="41">
        <v>5000</v>
      </c>
      <c r="N49" s="29"/>
    </row>
    <row r="50" spans="2:14" ht="12.75" customHeight="1" x14ac:dyDescent="0.2">
      <c r="B50" s="35"/>
      <c r="C50" s="198"/>
      <c r="D50" s="277" t="s">
        <v>175</v>
      </c>
      <c r="E50" s="278"/>
      <c r="F50" s="42">
        <f t="shared" ref="F50:H50" si="22">F51+F52</f>
        <v>303872</v>
      </c>
      <c r="G50" s="42">
        <f t="shared" si="22"/>
        <v>388229</v>
      </c>
      <c r="H50" s="42">
        <f t="shared" si="22"/>
        <v>369085</v>
      </c>
      <c r="I50" s="42">
        <f>I51+I52</f>
        <v>613749</v>
      </c>
      <c r="J50" s="42">
        <f t="shared" ref="J50:M50" si="23">J51+J52</f>
        <v>838986.18</v>
      </c>
      <c r="K50" s="42">
        <f t="shared" si="23"/>
        <v>811210</v>
      </c>
      <c r="L50" s="42">
        <f t="shared" si="23"/>
        <v>494821</v>
      </c>
      <c r="M50" s="42">
        <f t="shared" si="23"/>
        <v>1410410</v>
      </c>
      <c r="N50" s="29"/>
    </row>
    <row r="51" spans="2:14" x14ac:dyDescent="0.2">
      <c r="B51" s="35"/>
      <c r="C51" s="35"/>
      <c r="D51" s="35"/>
      <c r="E51" s="36" t="s">
        <v>172</v>
      </c>
      <c r="F51" s="49">
        <v>302764</v>
      </c>
      <c r="G51" s="49">
        <v>388229</v>
      </c>
      <c r="H51" s="49">
        <v>368363</v>
      </c>
      <c r="I51" s="41">
        <v>610035</v>
      </c>
      <c r="J51" s="41">
        <v>834634.63</v>
      </c>
      <c r="K51" s="41">
        <v>806710</v>
      </c>
      <c r="L51" s="41">
        <v>493260</v>
      </c>
      <c r="M51" s="41">
        <v>1406710</v>
      </c>
      <c r="N51" s="29"/>
    </row>
    <row r="52" spans="2:14" x14ac:dyDescent="0.2">
      <c r="B52" s="35"/>
      <c r="C52" s="35"/>
      <c r="D52" s="35"/>
      <c r="E52" s="36" t="s">
        <v>173</v>
      </c>
      <c r="F52" s="49">
        <v>1108</v>
      </c>
      <c r="G52" s="49">
        <v>0</v>
      </c>
      <c r="H52" s="49">
        <v>722</v>
      </c>
      <c r="I52" s="41">
        <v>3714</v>
      </c>
      <c r="J52" s="41">
        <f>2706.76+1644.79</f>
        <v>4351.55</v>
      </c>
      <c r="K52" s="41">
        <v>4500</v>
      </c>
      <c r="L52" s="41">
        <v>1561</v>
      </c>
      <c r="M52" s="41">
        <v>3700</v>
      </c>
      <c r="N52" s="29"/>
    </row>
    <row r="53" spans="2:14" ht="12.75" customHeight="1" x14ac:dyDescent="0.2">
      <c r="B53" s="199"/>
      <c r="C53" s="279" t="s">
        <v>364</v>
      </c>
      <c r="D53" s="280"/>
      <c r="E53" s="281"/>
      <c r="F53" s="43">
        <f>F54+F64+F67</f>
        <v>776162</v>
      </c>
      <c r="G53" s="43">
        <f t="shared" ref="G53:H53" si="24">G54+G64+G67</f>
        <v>777640</v>
      </c>
      <c r="H53" s="43">
        <f t="shared" si="24"/>
        <v>830936</v>
      </c>
      <c r="I53" s="43">
        <f>I54+I64+I67</f>
        <v>1318493</v>
      </c>
      <c r="J53" s="43">
        <f t="shared" ref="J53:M53" si="25">J54+J64+J67</f>
        <v>1378900.5700000003</v>
      </c>
      <c r="K53" s="43">
        <f t="shared" si="25"/>
        <v>2057183</v>
      </c>
      <c r="L53" s="43">
        <f t="shared" si="25"/>
        <v>1452910</v>
      </c>
      <c r="M53" s="43">
        <f t="shared" si="25"/>
        <v>2108435</v>
      </c>
    </row>
    <row r="54" spans="2:14" ht="12.75" customHeight="1" x14ac:dyDescent="0.2">
      <c r="B54" s="38"/>
      <c r="C54" s="198"/>
      <c r="D54" s="277" t="s">
        <v>164</v>
      </c>
      <c r="E54" s="278"/>
      <c r="F54" s="40">
        <f t="shared" ref="F54:H54" si="26">SUM(F55:F63)</f>
        <v>347209</v>
      </c>
      <c r="G54" s="40">
        <f t="shared" si="26"/>
        <v>327058</v>
      </c>
      <c r="H54" s="40">
        <f t="shared" si="26"/>
        <v>229921</v>
      </c>
      <c r="I54" s="40">
        <f>SUM(I55:I63)</f>
        <v>186976</v>
      </c>
      <c r="J54" s="40">
        <f t="shared" ref="J54:M54" si="27">SUM(J55:J63)</f>
        <v>206164.77</v>
      </c>
      <c r="K54" s="40">
        <f t="shared" si="27"/>
        <v>254422</v>
      </c>
      <c r="L54" s="40">
        <f t="shared" si="27"/>
        <v>248074</v>
      </c>
      <c r="M54" s="40">
        <f t="shared" si="27"/>
        <v>266119</v>
      </c>
      <c r="N54" s="29"/>
    </row>
    <row r="55" spans="2:14" x14ac:dyDescent="0.2">
      <c r="B55" s="35"/>
      <c r="C55" s="35"/>
      <c r="D55" s="35"/>
      <c r="E55" s="36" t="s">
        <v>165</v>
      </c>
      <c r="F55" s="49">
        <v>92841</v>
      </c>
      <c r="G55" s="49">
        <v>70481</v>
      </c>
      <c r="H55" s="49">
        <v>80796</v>
      </c>
      <c r="I55" s="41">
        <v>58849</v>
      </c>
      <c r="J55" s="41">
        <v>54770.65</v>
      </c>
      <c r="K55" s="41">
        <v>65598</v>
      </c>
      <c r="L55" s="41">
        <v>65841</v>
      </c>
      <c r="M55" s="41">
        <v>6500</v>
      </c>
      <c r="N55" s="29"/>
    </row>
    <row r="56" spans="2:14" x14ac:dyDescent="0.2">
      <c r="B56" s="35"/>
      <c r="C56" s="35"/>
      <c r="D56" s="35"/>
      <c r="E56" s="36" t="s">
        <v>233</v>
      </c>
      <c r="F56" s="49">
        <v>232945</v>
      </c>
      <c r="G56" s="49">
        <v>234015</v>
      </c>
      <c r="H56" s="49">
        <v>135545</v>
      </c>
      <c r="I56" s="41">
        <v>114526</v>
      </c>
      <c r="J56" s="41">
        <v>117026.7</v>
      </c>
      <c r="K56" s="41">
        <v>162124</v>
      </c>
      <c r="L56" s="41">
        <v>139972</v>
      </c>
      <c r="M56" s="41">
        <v>216169</v>
      </c>
      <c r="N56" s="29"/>
    </row>
    <row r="57" spans="2:14" x14ac:dyDescent="0.2">
      <c r="B57" s="35"/>
      <c r="C57" s="35"/>
      <c r="D57" s="35"/>
      <c r="E57" s="36" t="s">
        <v>166</v>
      </c>
      <c r="F57" s="49">
        <v>0</v>
      </c>
      <c r="G57" s="49">
        <v>0</v>
      </c>
      <c r="H57" s="49">
        <v>0</v>
      </c>
      <c r="I57" s="41">
        <v>0</v>
      </c>
      <c r="J57" s="41">
        <v>13104</v>
      </c>
      <c r="K57" s="41">
        <v>5000</v>
      </c>
      <c r="L57" s="41">
        <v>18511</v>
      </c>
      <c r="M57" s="41">
        <v>18500</v>
      </c>
      <c r="N57" s="29"/>
    </row>
    <row r="58" spans="2:14" x14ac:dyDescent="0.2">
      <c r="B58" s="35"/>
      <c r="C58" s="35"/>
      <c r="D58" s="35"/>
      <c r="E58" s="36" t="s">
        <v>190</v>
      </c>
      <c r="F58" s="49">
        <v>17509</v>
      </c>
      <c r="G58" s="49">
        <v>17709</v>
      </c>
      <c r="H58" s="49">
        <v>10490</v>
      </c>
      <c r="I58" s="41">
        <v>11393</v>
      </c>
      <c r="J58" s="41">
        <v>15589.44</v>
      </c>
      <c r="K58" s="41">
        <v>18000</v>
      </c>
      <c r="L58" s="41">
        <v>17200</v>
      </c>
      <c r="M58" s="41">
        <v>18000</v>
      </c>
      <c r="N58" s="29"/>
    </row>
    <row r="59" spans="2:14" x14ac:dyDescent="0.2">
      <c r="B59" s="35"/>
      <c r="C59" s="35"/>
      <c r="D59" s="35"/>
      <c r="E59" s="36" t="s">
        <v>198</v>
      </c>
      <c r="F59" s="49">
        <v>1703</v>
      </c>
      <c r="G59" s="49">
        <v>2673</v>
      </c>
      <c r="H59" s="49">
        <v>979</v>
      </c>
      <c r="I59" s="41">
        <v>0</v>
      </c>
      <c r="J59" s="41">
        <v>0</v>
      </c>
      <c r="K59" s="41">
        <v>0</v>
      </c>
      <c r="L59" s="41">
        <v>0</v>
      </c>
      <c r="M59" s="41">
        <v>0</v>
      </c>
      <c r="N59" s="29"/>
    </row>
    <row r="60" spans="2:14" x14ac:dyDescent="0.2">
      <c r="B60" s="35"/>
      <c r="C60" s="35"/>
      <c r="D60" s="35"/>
      <c r="E60" s="36" t="s">
        <v>234</v>
      </c>
      <c r="F60" s="49">
        <v>79</v>
      </c>
      <c r="G60" s="49">
        <v>79</v>
      </c>
      <c r="H60" s="49">
        <v>38</v>
      </c>
      <c r="I60" s="41">
        <v>16</v>
      </c>
      <c r="J60" s="41">
        <v>16.8</v>
      </c>
      <c r="K60" s="41">
        <v>0</v>
      </c>
      <c r="L60" s="41">
        <v>0</v>
      </c>
      <c r="M60" s="41">
        <v>0</v>
      </c>
      <c r="N60" s="29"/>
    </row>
    <row r="61" spans="2:14" x14ac:dyDescent="0.2">
      <c r="B61" s="35"/>
      <c r="C61" s="35"/>
      <c r="D61" s="35"/>
      <c r="E61" s="36" t="s">
        <v>178</v>
      </c>
      <c r="F61" s="49">
        <v>432</v>
      </c>
      <c r="G61" s="49">
        <v>626</v>
      </c>
      <c r="H61" s="49">
        <v>1098</v>
      </c>
      <c r="I61" s="41">
        <v>542</v>
      </c>
      <c r="J61" s="41">
        <v>3607.18</v>
      </c>
      <c r="K61" s="41">
        <v>2500</v>
      </c>
      <c r="L61" s="41">
        <v>5000</v>
      </c>
      <c r="M61" s="41">
        <v>5000</v>
      </c>
      <c r="N61" s="29"/>
    </row>
    <row r="62" spans="2:14" x14ac:dyDescent="0.2">
      <c r="B62" s="35"/>
      <c r="C62" s="35"/>
      <c r="D62" s="35"/>
      <c r="E62" s="36" t="s">
        <v>225</v>
      </c>
      <c r="F62" s="49">
        <v>1700</v>
      </c>
      <c r="G62" s="49">
        <v>1475</v>
      </c>
      <c r="H62" s="49">
        <v>975</v>
      </c>
      <c r="I62" s="41">
        <v>1250</v>
      </c>
      <c r="J62" s="41">
        <v>1250</v>
      </c>
      <c r="K62" s="41">
        <v>0</v>
      </c>
      <c r="L62" s="41">
        <v>750</v>
      </c>
      <c r="M62" s="41">
        <v>750</v>
      </c>
      <c r="N62" s="29"/>
    </row>
    <row r="63" spans="2:14" x14ac:dyDescent="0.2">
      <c r="B63" s="35"/>
      <c r="C63" s="35"/>
      <c r="D63" s="35"/>
      <c r="E63" s="36" t="s">
        <v>235</v>
      </c>
      <c r="F63" s="49">
        <v>0</v>
      </c>
      <c r="G63" s="49">
        <v>0</v>
      </c>
      <c r="H63" s="49">
        <v>0</v>
      </c>
      <c r="I63" s="41">
        <v>400</v>
      </c>
      <c r="J63" s="41">
        <v>800</v>
      </c>
      <c r="K63" s="41">
        <v>1200</v>
      </c>
      <c r="L63" s="41">
        <v>800</v>
      </c>
      <c r="M63" s="41">
        <v>1200</v>
      </c>
      <c r="N63" s="29"/>
    </row>
    <row r="64" spans="2:14" ht="12.75" customHeight="1" x14ac:dyDescent="0.2">
      <c r="B64" s="35"/>
      <c r="C64" s="198"/>
      <c r="D64" s="277" t="s">
        <v>194</v>
      </c>
      <c r="E64" s="278"/>
      <c r="F64" s="42">
        <f t="shared" ref="F64:H64" si="28">F65+F66</f>
        <v>0</v>
      </c>
      <c r="G64" s="42">
        <f t="shared" si="28"/>
        <v>2246</v>
      </c>
      <c r="H64" s="42">
        <f t="shared" si="28"/>
        <v>2701</v>
      </c>
      <c r="I64" s="42">
        <f>I65+I66</f>
        <v>4580</v>
      </c>
      <c r="J64" s="42">
        <f t="shared" ref="J64:M64" si="29">J65+J66</f>
        <v>1685.6</v>
      </c>
      <c r="K64" s="42">
        <f t="shared" si="29"/>
        <v>3000</v>
      </c>
      <c r="L64" s="42">
        <f t="shared" si="29"/>
        <v>1268</v>
      </c>
      <c r="M64" s="42">
        <f t="shared" si="29"/>
        <v>2000</v>
      </c>
      <c r="N64" s="29"/>
    </row>
    <row r="65" spans="2:14" x14ac:dyDescent="0.2">
      <c r="B65" s="35"/>
      <c r="C65" s="35"/>
      <c r="D65" s="35"/>
      <c r="E65" s="37" t="s">
        <v>168</v>
      </c>
      <c r="F65" s="103">
        <v>0</v>
      </c>
      <c r="G65" s="103">
        <v>256</v>
      </c>
      <c r="H65" s="103">
        <v>784</v>
      </c>
      <c r="I65" s="41">
        <v>2522</v>
      </c>
      <c r="J65" s="41">
        <v>1000</v>
      </c>
      <c r="K65" s="41">
        <v>2000</v>
      </c>
      <c r="L65" s="41">
        <v>768</v>
      </c>
      <c r="M65" s="41">
        <v>1000</v>
      </c>
      <c r="N65" s="29"/>
    </row>
    <row r="66" spans="2:14" x14ac:dyDescent="0.2">
      <c r="B66" s="35"/>
      <c r="C66" s="35"/>
      <c r="D66" s="35"/>
      <c r="E66" s="36" t="s">
        <v>200</v>
      </c>
      <c r="F66" s="49">
        <v>0</v>
      </c>
      <c r="G66" s="49">
        <v>1990</v>
      </c>
      <c r="H66" s="49">
        <v>1917</v>
      </c>
      <c r="I66" s="41">
        <v>2058</v>
      </c>
      <c r="J66" s="41">
        <v>685.6</v>
      </c>
      <c r="K66" s="41">
        <v>1000</v>
      </c>
      <c r="L66" s="41">
        <v>500</v>
      </c>
      <c r="M66" s="41">
        <v>1000</v>
      </c>
      <c r="N66" s="29"/>
    </row>
    <row r="67" spans="2:14" ht="12.75" customHeight="1" x14ac:dyDescent="0.2">
      <c r="B67" s="35"/>
      <c r="C67" s="198"/>
      <c r="D67" s="277" t="s">
        <v>175</v>
      </c>
      <c r="E67" s="278"/>
      <c r="F67" s="42">
        <f t="shared" ref="F67:H67" si="30">SUM(F68:F75)</f>
        <v>428953</v>
      </c>
      <c r="G67" s="42">
        <f t="shared" si="30"/>
        <v>448336</v>
      </c>
      <c r="H67" s="42">
        <f t="shared" si="30"/>
        <v>598314</v>
      </c>
      <c r="I67" s="42">
        <f>SUM(I68:I75)</f>
        <v>1126937</v>
      </c>
      <c r="J67" s="42">
        <f t="shared" ref="J67:M67" si="31">SUM(J68:J75)</f>
        <v>1171050.2000000002</v>
      </c>
      <c r="K67" s="42">
        <f t="shared" si="31"/>
        <v>1799761</v>
      </c>
      <c r="L67" s="42">
        <f t="shared" si="31"/>
        <v>1203568</v>
      </c>
      <c r="M67" s="42">
        <f t="shared" si="31"/>
        <v>1840316</v>
      </c>
      <c r="N67" s="29"/>
    </row>
    <row r="68" spans="2:14" x14ac:dyDescent="0.2">
      <c r="B68" s="35"/>
      <c r="C68" s="35"/>
      <c r="D68" s="35"/>
      <c r="E68" s="36" t="s">
        <v>242</v>
      </c>
      <c r="F68" s="49">
        <v>5310</v>
      </c>
      <c r="G68" s="49">
        <v>6576</v>
      </c>
      <c r="H68" s="49">
        <v>8659</v>
      </c>
      <c r="I68" s="41">
        <v>8013</v>
      </c>
      <c r="J68" s="41">
        <v>382.59</v>
      </c>
      <c r="K68" s="41">
        <v>8700</v>
      </c>
      <c r="L68" s="41">
        <v>7418</v>
      </c>
      <c r="M68" s="41">
        <v>8000</v>
      </c>
      <c r="N68" s="29"/>
    </row>
    <row r="69" spans="2:14" x14ac:dyDescent="0.2">
      <c r="B69" s="35"/>
      <c r="C69" s="35"/>
      <c r="D69" s="35"/>
      <c r="E69" s="36" t="s">
        <v>170</v>
      </c>
      <c r="F69" s="49">
        <v>1764</v>
      </c>
      <c r="G69" s="49">
        <v>0</v>
      </c>
      <c r="H69" s="49">
        <v>777</v>
      </c>
      <c r="I69" s="41">
        <v>721</v>
      </c>
      <c r="J69" s="41">
        <v>0</v>
      </c>
      <c r="K69" s="41">
        <v>500</v>
      </c>
      <c r="L69" s="41">
        <v>200</v>
      </c>
      <c r="M69" s="41">
        <v>500</v>
      </c>
      <c r="N69" s="29"/>
    </row>
    <row r="70" spans="2:14" x14ac:dyDescent="0.2">
      <c r="B70" s="35"/>
      <c r="C70" s="35"/>
      <c r="D70" s="35"/>
      <c r="E70" s="36" t="s">
        <v>171</v>
      </c>
      <c r="F70" s="49">
        <v>339259</v>
      </c>
      <c r="G70" s="49">
        <v>428510</v>
      </c>
      <c r="H70" s="49">
        <v>551697</v>
      </c>
      <c r="I70" s="41">
        <v>1078671</v>
      </c>
      <c r="J70" s="41">
        <f>1041520.81+105385.09</f>
        <v>1146905.9000000001</v>
      </c>
      <c r="K70" s="41">
        <v>1754911</v>
      </c>
      <c r="L70" s="41">
        <v>1177832</v>
      </c>
      <c r="M70" s="41">
        <v>1776616</v>
      </c>
      <c r="N70" s="29"/>
    </row>
    <row r="71" spans="2:14" x14ac:dyDescent="0.2">
      <c r="B71" s="35"/>
      <c r="C71" s="35"/>
      <c r="D71" s="35"/>
      <c r="E71" s="36" t="s">
        <v>201</v>
      </c>
      <c r="F71" s="49">
        <v>712</v>
      </c>
      <c r="G71" s="49">
        <v>5013</v>
      </c>
      <c r="H71" s="49">
        <v>2402</v>
      </c>
      <c r="I71" s="41">
        <v>3587</v>
      </c>
      <c r="J71" s="41">
        <v>2175.0300000000002</v>
      </c>
      <c r="K71" s="41">
        <v>7500</v>
      </c>
      <c r="L71" s="41">
        <v>2000</v>
      </c>
      <c r="M71" s="41">
        <v>3000</v>
      </c>
      <c r="N71" s="29"/>
    </row>
    <row r="72" spans="2:14" x14ac:dyDescent="0.2">
      <c r="B72" s="35"/>
      <c r="C72" s="35"/>
      <c r="D72" s="35"/>
      <c r="E72" s="36" t="s">
        <v>188</v>
      </c>
      <c r="F72" s="49">
        <v>7377</v>
      </c>
      <c r="G72" s="49">
        <v>7397</v>
      </c>
      <c r="H72" s="49">
        <v>32161</v>
      </c>
      <c r="I72" s="41">
        <v>12480</v>
      </c>
      <c r="J72" s="41">
        <f>8753.56+6684.09</f>
        <v>15437.65</v>
      </c>
      <c r="K72" s="41">
        <v>20100</v>
      </c>
      <c r="L72" s="41">
        <v>9768</v>
      </c>
      <c r="M72" s="41">
        <v>11800</v>
      </c>
      <c r="N72" s="29"/>
    </row>
    <row r="73" spans="2:14" x14ac:dyDescent="0.2">
      <c r="B73" s="35"/>
      <c r="C73" s="35"/>
      <c r="D73" s="35"/>
      <c r="E73" s="36" t="s">
        <v>172</v>
      </c>
      <c r="F73" s="49">
        <v>73210</v>
      </c>
      <c r="G73" s="49">
        <v>0</v>
      </c>
      <c r="H73" s="49">
        <v>0</v>
      </c>
      <c r="I73" s="41">
        <v>21650</v>
      </c>
      <c r="J73" s="41">
        <v>5750</v>
      </c>
      <c r="K73" s="41">
        <v>4500</v>
      </c>
      <c r="L73" s="41">
        <v>4500</v>
      </c>
      <c r="M73" s="41">
        <v>27800</v>
      </c>
      <c r="N73" s="29"/>
    </row>
    <row r="74" spans="2:14" x14ac:dyDescent="0.2">
      <c r="B74" s="35"/>
      <c r="C74" s="35"/>
      <c r="D74" s="35"/>
      <c r="E74" s="36" t="s">
        <v>173</v>
      </c>
      <c r="F74" s="49">
        <v>649</v>
      </c>
      <c r="G74" s="49">
        <v>450</v>
      </c>
      <c r="H74" s="49">
        <v>1765</v>
      </c>
      <c r="I74" s="41">
        <v>1555</v>
      </c>
      <c r="J74" s="41">
        <v>130</v>
      </c>
      <c r="K74" s="41">
        <v>2800</v>
      </c>
      <c r="L74" s="41">
        <v>1350</v>
      </c>
      <c r="M74" s="41">
        <v>12000</v>
      </c>
      <c r="N74" s="29"/>
    </row>
    <row r="75" spans="2:14" x14ac:dyDescent="0.2">
      <c r="B75" s="35"/>
      <c r="C75" s="35"/>
      <c r="D75" s="35"/>
      <c r="E75" s="36" t="s">
        <v>182</v>
      </c>
      <c r="F75" s="49">
        <v>672</v>
      </c>
      <c r="G75" s="49">
        <v>390</v>
      </c>
      <c r="H75" s="49">
        <v>853</v>
      </c>
      <c r="I75" s="41">
        <v>260</v>
      </c>
      <c r="J75" s="41">
        <v>269.02999999999997</v>
      </c>
      <c r="K75" s="41">
        <v>750</v>
      </c>
      <c r="L75" s="41">
        <v>500</v>
      </c>
      <c r="M75" s="41">
        <v>600</v>
      </c>
      <c r="N75" s="29"/>
    </row>
    <row r="76" spans="2:14" ht="12.75" customHeight="1" x14ac:dyDescent="0.2">
      <c r="B76" s="199"/>
      <c r="C76" s="279" t="s">
        <v>365</v>
      </c>
      <c r="D76" s="280"/>
      <c r="E76" s="281"/>
      <c r="F76" s="39">
        <f t="shared" ref="F76:H76" si="32">F77+F81+F83</f>
        <v>738589</v>
      </c>
      <c r="G76" s="39">
        <f t="shared" si="32"/>
        <v>689495</v>
      </c>
      <c r="H76" s="39">
        <f t="shared" si="32"/>
        <v>640265</v>
      </c>
      <c r="I76" s="39">
        <f>I77+I81+I83</f>
        <v>874304</v>
      </c>
      <c r="J76" s="39">
        <f t="shared" ref="J76:M76" si="33">J77+J81+J83</f>
        <v>889948.97</v>
      </c>
      <c r="K76" s="39">
        <f t="shared" si="33"/>
        <v>1001281</v>
      </c>
      <c r="L76" s="39">
        <f t="shared" si="33"/>
        <v>1098204</v>
      </c>
      <c r="M76" s="39">
        <f t="shared" si="33"/>
        <v>1151714</v>
      </c>
    </row>
    <row r="77" spans="2:14" ht="12.75" customHeight="1" x14ac:dyDescent="0.2">
      <c r="B77" s="35"/>
      <c r="C77" s="198"/>
      <c r="D77" s="277" t="s">
        <v>164</v>
      </c>
      <c r="E77" s="278"/>
      <c r="F77" s="40">
        <f>SUM(F78:F80)</f>
        <v>134797</v>
      </c>
      <c r="G77" s="40">
        <f t="shared" ref="G77:M77" si="34">SUM(G78:G80)</f>
        <v>141369</v>
      </c>
      <c r="H77" s="40">
        <f t="shared" si="34"/>
        <v>142997</v>
      </c>
      <c r="I77" s="40">
        <f t="shared" si="34"/>
        <v>160769</v>
      </c>
      <c r="J77" s="40">
        <f t="shared" si="34"/>
        <v>153598.85</v>
      </c>
      <c r="K77" s="40">
        <f t="shared" si="34"/>
        <v>163603</v>
      </c>
      <c r="L77" s="40">
        <f t="shared" si="34"/>
        <v>163353</v>
      </c>
      <c r="M77" s="40">
        <f t="shared" si="34"/>
        <v>165685</v>
      </c>
      <c r="N77" s="29"/>
    </row>
    <row r="78" spans="2:14" x14ac:dyDescent="0.2">
      <c r="B78" s="35"/>
      <c r="C78" s="35"/>
      <c r="D78" s="35"/>
      <c r="E78" s="36" t="s">
        <v>165</v>
      </c>
      <c r="F78" s="49">
        <v>134376</v>
      </c>
      <c r="G78" s="49">
        <v>141144</v>
      </c>
      <c r="H78" s="49">
        <v>142772</v>
      </c>
      <c r="I78" s="41">
        <v>160269</v>
      </c>
      <c r="J78" s="41">
        <v>153098.85</v>
      </c>
      <c r="K78" s="41">
        <v>163103</v>
      </c>
      <c r="L78" s="41">
        <v>162853</v>
      </c>
      <c r="M78" s="41">
        <v>165185</v>
      </c>
      <c r="N78" s="29"/>
    </row>
    <row r="79" spans="2:14" x14ac:dyDescent="0.2">
      <c r="B79" s="35"/>
      <c r="C79" s="35"/>
      <c r="D79" s="35"/>
      <c r="E79" s="36" t="s">
        <v>190</v>
      </c>
      <c r="F79" s="49">
        <v>421</v>
      </c>
      <c r="G79" s="49">
        <v>0</v>
      </c>
      <c r="H79" s="49">
        <v>0</v>
      </c>
      <c r="I79" s="41">
        <v>0</v>
      </c>
      <c r="J79" s="41">
        <v>0</v>
      </c>
      <c r="K79" s="41">
        <v>0</v>
      </c>
      <c r="L79" s="41">
        <v>0</v>
      </c>
      <c r="M79" s="41">
        <v>0</v>
      </c>
      <c r="N79" s="29"/>
    </row>
    <row r="80" spans="2:14" x14ac:dyDescent="0.2">
      <c r="B80" s="35"/>
      <c r="C80" s="35"/>
      <c r="D80" s="35"/>
      <c r="E80" s="36" t="s">
        <v>225</v>
      </c>
      <c r="F80" s="49">
        <v>0</v>
      </c>
      <c r="G80" s="49">
        <v>225</v>
      </c>
      <c r="H80" s="49">
        <v>225</v>
      </c>
      <c r="I80" s="41">
        <v>500</v>
      </c>
      <c r="J80" s="41">
        <v>500</v>
      </c>
      <c r="K80" s="41">
        <v>500</v>
      </c>
      <c r="L80" s="41">
        <v>500</v>
      </c>
      <c r="M80" s="41">
        <v>500</v>
      </c>
      <c r="N80" s="29"/>
    </row>
    <row r="81" spans="2:14" ht="12.75" customHeight="1" x14ac:dyDescent="0.2">
      <c r="B81" s="35"/>
      <c r="C81" s="198"/>
      <c r="D81" s="277" t="s">
        <v>194</v>
      </c>
      <c r="E81" s="278"/>
      <c r="F81" s="42">
        <f t="shared" ref="F81:H81" si="35">F82</f>
        <v>0</v>
      </c>
      <c r="G81" s="42">
        <f t="shared" si="35"/>
        <v>0</v>
      </c>
      <c r="H81" s="42">
        <f t="shared" si="35"/>
        <v>0</v>
      </c>
      <c r="I81" s="42">
        <f>I82</f>
        <v>0</v>
      </c>
      <c r="J81" s="42">
        <f t="shared" ref="J81:M81" si="36">J82</f>
        <v>1000</v>
      </c>
      <c r="K81" s="42">
        <f t="shared" si="36"/>
        <v>1000</v>
      </c>
      <c r="L81" s="42">
        <f t="shared" si="36"/>
        <v>500</v>
      </c>
      <c r="M81" s="42">
        <f t="shared" si="36"/>
        <v>500</v>
      </c>
      <c r="N81" s="29"/>
    </row>
    <row r="82" spans="2:14" x14ac:dyDescent="0.2">
      <c r="B82" s="35"/>
      <c r="C82" s="35"/>
      <c r="D82" s="35"/>
      <c r="E82" s="37" t="s">
        <v>168</v>
      </c>
      <c r="F82" s="103">
        <v>0</v>
      </c>
      <c r="G82" s="103">
        <v>0</v>
      </c>
      <c r="H82" s="103">
        <v>0</v>
      </c>
      <c r="I82" s="41">
        <v>0</v>
      </c>
      <c r="J82" s="41">
        <v>1000</v>
      </c>
      <c r="K82" s="41">
        <v>1000</v>
      </c>
      <c r="L82" s="41">
        <v>500</v>
      </c>
      <c r="M82" s="41">
        <v>500</v>
      </c>
      <c r="N82" s="29"/>
    </row>
    <row r="83" spans="2:14" ht="12.75" customHeight="1" x14ac:dyDescent="0.2">
      <c r="B83" s="35"/>
      <c r="C83" s="198"/>
      <c r="D83" s="277" t="s">
        <v>175</v>
      </c>
      <c r="E83" s="278"/>
      <c r="F83" s="42">
        <f t="shared" ref="F83:H83" si="37">F84+F85</f>
        <v>603792</v>
      </c>
      <c r="G83" s="42">
        <f t="shared" si="37"/>
        <v>548126</v>
      </c>
      <c r="H83" s="42">
        <f t="shared" si="37"/>
        <v>497268</v>
      </c>
      <c r="I83" s="42">
        <f>I84+I85</f>
        <v>713535</v>
      </c>
      <c r="J83" s="42">
        <f t="shared" ref="J83:M83" si="38">J84+J85</f>
        <v>735350.12</v>
      </c>
      <c r="K83" s="42">
        <f t="shared" si="38"/>
        <v>836678</v>
      </c>
      <c r="L83" s="42">
        <f t="shared" si="38"/>
        <v>934351</v>
      </c>
      <c r="M83" s="42">
        <f t="shared" si="38"/>
        <v>985529</v>
      </c>
      <c r="N83" s="29"/>
    </row>
    <row r="84" spans="2:14" x14ac:dyDescent="0.2">
      <c r="B84" s="35"/>
      <c r="C84" s="35"/>
      <c r="D84" s="35"/>
      <c r="E84" s="36" t="s">
        <v>172</v>
      </c>
      <c r="F84" s="49">
        <v>603792</v>
      </c>
      <c r="G84" s="49">
        <v>548126</v>
      </c>
      <c r="H84" s="49">
        <v>497268</v>
      </c>
      <c r="I84" s="41">
        <v>713535</v>
      </c>
      <c r="J84" s="41">
        <v>735350.12</v>
      </c>
      <c r="K84" s="41">
        <v>836178</v>
      </c>
      <c r="L84" s="41">
        <v>933851</v>
      </c>
      <c r="M84" s="41">
        <v>985029</v>
      </c>
      <c r="N84" s="29"/>
    </row>
    <row r="85" spans="2:14" x14ac:dyDescent="0.2">
      <c r="B85" s="35"/>
      <c r="C85" s="35"/>
      <c r="D85" s="35"/>
      <c r="E85" s="36" t="s">
        <v>173</v>
      </c>
      <c r="F85" s="49">
        <v>0</v>
      </c>
      <c r="G85" s="49">
        <v>0</v>
      </c>
      <c r="H85" s="49">
        <v>0</v>
      </c>
      <c r="I85" s="41">
        <v>0</v>
      </c>
      <c r="J85" s="41">
        <v>0</v>
      </c>
      <c r="K85" s="41">
        <v>500</v>
      </c>
      <c r="L85" s="41">
        <v>500</v>
      </c>
      <c r="M85" s="41">
        <v>500</v>
      </c>
      <c r="N85" s="29"/>
    </row>
    <row r="86" spans="2:14" ht="12.75" customHeight="1" x14ac:dyDescent="0.2">
      <c r="B86" s="199"/>
      <c r="C86" s="279" t="s">
        <v>366</v>
      </c>
      <c r="D86" s="280"/>
      <c r="E86" s="281"/>
      <c r="F86" s="39">
        <f>F87+F96+F99</f>
        <v>7371480</v>
      </c>
      <c r="G86" s="39">
        <f t="shared" ref="G86:H86" si="39">G87+G96+G99</f>
        <v>7232866</v>
      </c>
      <c r="H86" s="39">
        <f t="shared" si="39"/>
        <v>7366549</v>
      </c>
      <c r="I86" s="39">
        <f>I87+I96+I99</f>
        <v>7699834</v>
      </c>
      <c r="J86" s="39">
        <f t="shared" ref="J86:M86" si="40">J87+J96+J99</f>
        <v>8056833.5</v>
      </c>
      <c r="K86" s="39">
        <f t="shared" si="40"/>
        <v>9955726</v>
      </c>
      <c r="L86" s="39">
        <f t="shared" si="40"/>
        <v>8820530</v>
      </c>
      <c r="M86" s="39">
        <f t="shared" si="40"/>
        <v>10160906</v>
      </c>
    </row>
    <row r="87" spans="2:14" ht="12.75" customHeight="1" x14ac:dyDescent="0.2">
      <c r="B87" s="38"/>
      <c r="C87" s="198"/>
      <c r="D87" s="277" t="s">
        <v>164</v>
      </c>
      <c r="E87" s="278"/>
      <c r="F87" s="40">
        <f t="shared" ref="F87:H87" si="41">SUM(F88:F95)</f>
        <v>4261952</v>
      </c>
      <c r="G87" s="40">
        <f t="shared" si="41"/>
        <v>4309108</v>
      </c>
      <c r="H87" s="40">
        <f t="shared" si="41"/>
        <v>4299963</v>
      </c>
      <c r="I87" s="40">
        <f>SUM(I88:I95)</f>
        <v>4604955</v>
      </c>
      <c r="J87" s="40">
        <f t="shared" ref="J87:M87" si="42">SUM(J88:J95)</f>
        <v>4439154.54</v>
      </c>
      <c r="K87" s="40">
        <f t="shared" si="42"/>
        <v>5523461</v>
      </c>
      <c r="L87" s="40">
        <f t="shared" si="42"/>
        <v>5135075</v>
      </c>
      <c r="M87" s="40">
        <f t="shared" si="42"/>
        <v>5677204</v>
      </c>
      <c r="N87" s="29"/>
    </row>
    <row r="88" spans="2:14" x14ac:dyDescent="0.2">
      <c r="B88" s="35"/>
      <c r="C88" s="35"/>
      <c r="D88" s="35"/>
      <c r="E88" s="36" t="s">
        <v>165</v>
      </c>
      <c r="F88" s="49">
        <v>543937</v>
      </c>
      <c r="G88" s="49">
        <v>521418</v>
      </c>
      <c r="H88" s="49">
        <v>495655</v>
      </c>
      <c r="I88" s="41">
        <v>667385</v>
      </c>
      <c r="J88" s="41">
        <v>651093.04</v>
      </c>
      <c r="K88" s="41">
        <v>777072</v>
      </c>
      <c r="L88" s="41">
        <v>765927</v>
      </c>
      <c r="M88" s="41">
        <v>793368</v>
      </c>
      <c r="N88" s="29"/>
    </row>
    <row r="89" spans="2:14" x14ac:dyDescent="0.2">
      <c r="B89" s="35"/>
      <c r="C89" s="35"/>
      <c r="D89" s="35"/>
      <c r="E89" s="36" t="s">
        <v>233</v>
      </c>
      <c r="F89" s="49">
        <v>2877785</v>
      </c>
      <c r="G89" s="49">
        <v>2833124</v>
      </c>
      <c r="H89" s="49">
        <v>2904134</v>
      </c>
      <c r="I89" s="41">
        <v>2890002</v>
      </c>
      <c r="J89" s="41">
        <v>2771614.59</v>
      </c>
      <c r="K89" s="41">
        <v>3625189</v>
      </c>
      <c r="L89" s="41">
        <v>3287673</v>
      </c>
      <c r="M89" s="41">
        <v>3736636</v>
      </c>
      <c r="N89" s="29"/>
    </row>
    <row r="90" spans="2:14" x14ac:dyDescent="0.2">
      <c r="B90" s="35"/>
      <c r="C90" s="35"/>
      <c r="D90" s="35"/>
      <c r="E90" s="36" t="s">
        <v>190</v>
      </c>
      <c r="F90" s="49">
        <v>787738</v>
      </c>
      <c r="G90" s="49">
        <v>891219</v>
      </c>
      <c r="H90" s="49">
        <v>835350</v>
      </c>
      <c r="I90" s="41">
        <v>977489</v>
      </c>
      <c r="J90" s="41">
        <v>942774.51</v>
      </c>
      <c r="K90" s="41">
        <v>975000</v>
      </c>
      <c r="L90" s="41">
        <v>997553</v>
      </c>
      <c r="M90" s="41">
        <v>998000</v>
      </c>
      <c r="N90" s="29"/>
    </row>
    <row r="91" spans="2:14" x14ac:dyDescent="0.2">
      <c r="B91" s="35"/>
      <c r="C91" s="35"/>
      <c r="D91" s="35"/>
      <c r="E91" s="36" t="s">
        <v>234</v>
      </c>
      <c r="F91" s="49">
        <v>21428</v>
      </c>
      <c r="G91" s="49">
        <v>22566</v>
      </c>
      <c r="H91" s="49">
        <v>20741</v>
      </c>
      <c r="I91" s="41">
        <v>21636</v>
      </c>
      <c r="J91" s="41">
        <v>19952.939999999999</v>
      </c>
      <c r="K91" s="41">
        <v>21000</v>
      </c>
      <c r="L91" s="41">
        <v>20626</v>
      </c>
      <c r="M91" s="41">
        <v>21000</v>
      </c>
      <c r="N91" s="29"/>
    </row>
    <row r="92" spans="2:14" x14ac:dyDescent="0.2">
      <c r="B92" s="35"/>
      <c r="C92" s="35"/>
      <c r="D92" s="35"/>
      <c r="E92" s="36" t="s">
        <v>238</v>
      </c>
      <c r="F92" s="49">
        <v>1500</v>
      </c>
      <c r="G92" s="49">
        <v>1250</v>
      </c>
      <c r="H92" s="49">
        <v>1000</v>
      </c>
      <c r="I92" s="41">
        <v>1050</v>
      </c>
      <c r="J92" s="41">
        <v>1050</v>
      </c>
      <c r="K92" s="41">
        <v>1250</v>
      </c>
      <c r="L92" s="41">
        <v>1000</v>
      </c>
      <c r="M92" s="41">
        <v>1250</v>
      </c>
      <c r="N92" s="29"/>
    </row>
    <row r="93" spans="2:14" x14ac:dyDescent="0.2">
      <c r="B93" s="35"/>
      <c r="C93" s="35"/>
      <c r="D93" s="35"/>
      <c r="E93" s="36" t="s">
        <v>178</v>
      </c>
      <c r="F93" s="49">
        <v>12014</v>
      </c>
      <c r="G93" s="49">
        <v>22231</v>
      </c>
      <c r="H93" s="49">
        <v>26283</v>
      </c>
      <c r="I93" s="41">
        <v>12893</v>
      </c>
      <c r="J93" s="41">
        <v>13219.46</v>
      </c>
      <c r="K93" s="41">
        <v>17000</v>
      </c>
      <c r="L93" s="41">
        <v>17375</v>
      </c>
      <c r="M93" s="41">
        <v>20000</v>
      </c>
      <c r="N93" s="29"/>
    </row>
    <row r="94" spans="2:14" x14ac:dyDescent="0.2">
      <c r="B94" s="35"/>
      <c r="C94" s="35"/>
      <c r="D94" s="35"/>
      <c r="E94" s="36" t="s">
        <v>225</v>
      </c>
      <c r="F94" s="49">
        <v>17550</v>
      </c>
      <c r="G94" s="49">
        <v>17300</v>
      </c>
      <c r="H94" s="49">
        <v>16800</v>
      </c>
      <c r="I94" s="41">
        <v>19750</v>
      </c>
      <c r="J94" s="41">
        <v>18000</v>
      </c>
      <c r="K94" s="41">
        <v>24150</v>
      </c>
      <c r="L94" s="41">
        <v>24021</v>
      </c>
      <c r="M94" s="41">
        <v>24150</v>
      </c>
      <c r="N94" s="29"/>
    </row>
    <row r="95" spans="2:14" x14ac:dyDescent="0.2">
      <c r="B95" s="35"/>
      <c r="C95" s="35"/>
      <c r="D95" s="35"/>
      <c r="E95" s="36" t="s">
        <v>235</v>
      </c>
      <c r="F95" s="49">
        <v>0</v>
      </c>
      <c r="G95" s="49">
        <v>0</v>
      </c>
      <c r="H95" s="49">
        <v>0</v>
      </c>
      <c r="I95" s="41">
        <v>14750</v>
      </c>
      <c r="J95" s="41">
        <v>21450</v>
      </c>
      <c r="K95" s="41">
        <v>82800</v>
      </c>
      <c r="L95" s="41">
        <v>20900</v>
      </c>
      <c r="M95" s="41">
        <v>82800</v>
      </c>
      <c r="N95" s="29"/>
    </row>
    <row r="96" spans="2:14" ht="12.75" customHeight="1" x14ac:dyDescent="0.2">
      <c r="B96" s="35"/>
      <c r="C96" s="198"/>
      <c r="D96" s="277" t="s">
        <v>194</v>
      </c>
      <c r="E96" s="278"/>
      <c r="F96" s="44">
        <f t="shared" ref="F96:H96" si="43">F97+F98</f>
        <v>297234</v>
      </c>
      <c r="G96" s="44">
        <f t="shared" si="43"/>
        <v>185912</v>
      </c>
      <c r="H96" s="44">
        <f t="shared" si="43"/>
        <v>238549</v>
      </c>
      <c r="I96" s="44">
        <f>I97+I98</f>
        <v>239041</v>
      </c>
      <c r="J96" s="44">
        <f t="shared" ref="J96:M96" si="44">J97+J98</f>
        <v>302997.89999999997</v>
      </c>
      <c r="K96" s="44">
        <f t="shared" si="44"/>
        <v>325000</v>
      </c>
      <c r="L96" s="44">
        <f t="shared" si="44"/>
        <v>260412</v>
      </c>
      <c r="M96" s="44">
        <f t="shared" si="44"/>
        <v>325000</v>
      </c>
      <c r="N96" s="29"/>
    </row>
    <row r="97" spans="2:14" x14ac:dyDescent="0.2">
      <c r="B97" s="35"/>
      <c r="C97" s="35"/>
      <c r="D97" s="35"/>
      <c r="E97" s="36" t="s">
        <v>168</v>
      </c>
      <c r="F97" s="49">
        <v>0</v>
      </c>
      <c r="G97" s="49">
        <v>3722</v>
      </c>
      <c r="H97" s="49">
        <v>28270</v>
      </c>
      <c r="I97" s="41">
        <v>9897</v>
      </c>
      <c r="J97" s="41">
        <v>9884.67</v>
      </c>
      <c r="K97" s="41">
        <v>10000</v>
      </c>
      <c r="L97" s="41">
        <v>500</v>
      </c>
      <c r="M97" s="41">
        <v>10000</v>
      </c>
      <c r="N97" s="29"/>
    </row>
    <row r="98" spans="2:14" x14ac:dyDescent="0.2">
      <c r="B98" s="35"/>
      <c r="C98" s="35"/>
      <c r="D98" s="35"/>
      <c r="E98" s="36" t="s">
        <v>200</v>
      </c>
      <c r="F98" s="49">
        <v>297234</v>
      </c>
      <c r="G98" s="49">
        <v>182190</v>
      </c>
      <c r="H98" s="49">
        <v>210279</v>
      </c>
      <c r="I98" s="41">
        <v>229144</v>
      </c>
      <c r="J98" s="41">
        <f>292602.57+510.66</f>
        <v>293113.23</v>
      </c>
      <c r="K98" s="41">
        <v>315000</v>
      </c>
      <c r="L98" s="41">
        <v>259912</v>
      </c>
      <c r="M98" s="41">
        <v>315000</v>
      </c>
      <c r="N98" s="29"/>
    </row>
    <row r="99" spans="2:14" ht="12.75" customHeight="1" x14ac:dyDescent="0.2">
      <c r="B99" s="35"/>
      <c r="C99" s="198"/>
      <c r="D99" s="277" t="s">
        <v>175</v>
      </c>
      <c r="E99" s="278"/>
      <c r="F99" s="44">
        <f t="shared" ref="F99:H99" si="45">SUM(F100:F109)</f>
        <v>2812294</v>
      </c>
      <c r="G99" s="44">
        <f t="shared" si="45"/>
        <v>2737846</v>
      </c>
      <c r="H99" s="44">
        <f t="shared" si="45"/>
        <v>2828037</v>
      </c>
      <c r="I99" s="44">
        <f>SUM(I100:I109)</f>
        <v>2855838</v>
      </c>
      <c r="J99" s="44">
        <f t="shared" ref="J99:M99" si="46">SUM(J100:J109)</f>
        <v>3314681.06</v>
      </c>
      <c r="K99" s="44">
        <f t="shared" si="46"/>
        <v>4107265</v>
      </c>
      <c r="L99" s="44">
        <f t="shared" si="46"/>
        <v>3425043</v>
      </c>
      <c r="M99" s="44">
        <f t="shared" si="46"/>
        <v>4158702</v>
      </c>
      <c r="N99" s="29"/>
    </row>
    <row r="100" spans="2:14" x14ac:dyDescent="0.2">
      <c r="B100" s="35"/>
      <c r="C100" s="35"/>
      <c r="D100" s="35"/>
      <c r="E100" s="36" t="s">
        <v>242</v>
      </c>
      <c r="F100" s="49">
        <v>124209</v>
      </c>
      <c r="G100" s="49">
        <v>124543</v>
      </c>
      <c r="H100" s="49">
        <v>167717</v>
      </c>
      <c r="I100" s="41">
        <v>110614</v>
      </c>
      <c r="J100" s="41">
        <f>177184.06+4353.84+375</f>
        <v>181912.9</v>
      </c>
      <c r="K100" s="41">
        <v>139000</v>
      </c>
      <c r="L100" s="41">
        <v>182000</v>
      </c>
      <c r="M100" s="41">
        <v>191000</v>
      </c>
      <c r="N100" s="29"/>
    </row>
    <row r="101" spans="2:14" x14ac:dyDescent="0.2">
      <c r="B101" s="35"/>
      <c r="C101" s="35"/>
      <c r="D101" s="35"/>
      <c r="E101" s="36" t="s">
        <v>243</v>
      </c>
      <c r="F101" s="49">
        <v>189183</v>
      </c>
      <c r="G101" s="49">
        <v>119956</v>
      </c>
      <c r="H101" s="49">
        <v>180501</v>
      </c>
      <c r="I101" s="41">
        <v>172055</v>
      </c>
      <c r="J101" s="41">
        <f>93197.2+87098.94</f>
        <v>180296.14</v>
      </c>
      <c r="K101" s="41">
        <v>295000</v>
      </c>
      <c r="L101" s="41">
        <v>254597</v>
      </c>
      <c r="M101" s="41">
        <v>290000</v>
      </c>
      <c r="N101" s="29"/>
    </row>
    <row r="102" spans="2:14" x14ac:dyDescent="0.2">
      <c r="B102" s="35"/>
      <c r="C102" s="35"/>
      <c r="D102" s="35"/>
      <c r="E102" s="36" t="s">
        <v>170</v>
      </c>
      <c r="F102" s="49">
        <v>11114</v>
      </c>
      <c r="G102" s="49">
        <v>11640</v>
      </c>
      <c r="H102" s="49">
        <v>9076</v>
      </c>
      <c r="I102" s="41">
        <v>16314</v>
      </c>
      <c r="J102" s="41">
        <f>5648.67</f>
        <v>5648.67</v>
      </c>
      <c r="K102" s="41">
        <v>18800</v>
      </c>
      <c r="L102" s="41">
        <v>17000</v>
      </c>
      <c r="M102" s="41">
        <v>28800</v>
      </c>
      <c r="N102" s="29"/>
    </row>
    <row r="103" spans="2:14" x14ac:dyDescent="0.2">
      <c r="B103" s="35"/>
      <c r="C103" s="35"/>
      <c r="D103" s="35"/>
      <c r="E103" s="36" t="s">
        <v>171</v>
      </c>
      <c r="F103" s="49">
        <v>1096775</v>
      </c>
      <c r="G103" s="49">
        <v>2078612</v>
      </c>
      <c r="H103" s="49">
        <v>1880881</v>
      </c>
      <c r="I103" s="41">
        <v>1919347</v>
      </c>
      <c r="J103" s="41">
        <f>34781.73+481.38+3366+24075.04+107911.87+121916.69+35331.9+624890.12+977221.99+465950.93</f>
        <v>2395927.65</v>
      </c>
      <c r="K103" s="41">
        <v>3001465</v>
      </c>
      <c r="L103" s="41">
        <v>2423417</v>
      </c>
      <c r="M103" s="41">
        <v>3031783</v>
      </c>
      <c r="N103" s="29"/>
    </row>
    <row r="104" spans="2:14" x14ac:dyDescent="0.2">
      <c r="B104" s="35"/>
      <c r="C104" s="35"/>
      <c r="D104" s="35"/>
      <c r="E104" s="36" t="s">
        <v>201</v>
      </c>
      <c r="F104" s="49">
        <v>6845</v>
      </c>
      <c r="G104" s="49">
        <v>14817</v>
      </c>
      <c r="H104" s="49">
        <v>3022</v>
      </c>
      <c r="I104" s="41">
        <v>7804</v>
      </c>
      <c r="J104" s="41">
        <f>4354.37+6561.85</f>
        <v>10916.220000000001</v>
      </c>
      <c r="K104" s="41">
        <v>14000</v>
      </c>
      <c r="L104" s="41">
        <v>9200</v>
      </c>
      <c r="M104" s="41">
        <v>14000</v>
      </c>
      <c r="N104" s="29"/>
    </row>
    <row r="105" spans="2:14" x14ac:dyDescent="0.2">
      <c r="B105" s="35"/>
      <c r="C105" s="35"/>
      <c r="D105" s="35"/>
      <c r="E105" s="36" t="s">
        <v>226</v>
      </c>
      <c r="F105" s="49">
        <v>5515</v>
      </c>
      <c r="G105" s="49">
        <v>5235</v>
      </c>
      <c r="H105" s="49">
        <v>5537</v>
      </c>
      <c r="I105" s="41">
        <v>3708</v>
      </c>
      <c r="J105" s="41">
        <v>4650.8999999999996</v>
      </c>
      <c r="K105" s="41">
        <v>3600</v>
      </c>
      <c r="L105" s="41">
        <v>3600</v>
      </c>
      <c r="M105" s="41">
        <v>4200</v>
      </c>
      <c r="N105" s="29"/>
    </row>
    <row r="106" spans="2:14" x14ac:dyDescent="0.2">
      <c r="B106" s="35"/>
      <c r="C106" s="35"/>
      <c r="D106" s="35"/>
      <c r="E106" s="36" t="s">
        <v>188</v>
      </c>
      <c r="F106" s="49">
        <v>276683</v>
      </c>
      <c r="G106" s="49">
        <v>343298</v>
      </c>
      <c r="H106" s="49">
        <v>491542</v>
      </c>
      <c r="I106" s="41">
        <v>549796</v>
      </c>
      <c r="J106" s="41">
        <f>24502.08+396591.15+332.45+17490.42</f>
        <v>438916.10000000003</v>
      </c>
      <c r="K106" s="41">
        <v>555600</v>
      </c>
      <c r="L106" s="41">
        <v>463984</v>
      </c>
      <c r="M106" s="41">
        <v>538600</v>
      </c>
      <c r="N106" s="29"/>
    </row>
    <row r="107" spans="2:14" x14ac:dyDescent="0.2">
      <c r="B107" s="35"/>
      <c r="C107" s="35"/>
      <c r="D107" s="35"/>
      <c r="E107" s="36" t="s">
        <v>172</v>
      </c>
      <c r="F107" s="49">
        <v>1097202</v>
      </c>
      <c r="G107" s="49">
        <v>38087</v>
      </c>
      <c r="H107" s="49">
        <v>81515</v>
      </c>
      <c r="I107" s="41">
        <v>0</v>
      </c>
      <c r="J107" s="41">
        <v>0</v>
      </c>
      <c r="K107" s="41">
        <v>0</v>
      </c>
      <c r="L107" s="41">
        <v>0</v>
      </c>
      <c r="M107" s="41">
        <v>0</v>
      </c>
      <c r="N107" s="29"/>
    </row>
    <row r="108" spans="2:14" x14ac:dyDescent="0.2">
      <c r="B108" s="35"/>
      <c r="C108" s="35"/>
      <c r="D108" s="35"/>
      <c r="E108" s="36" t="s">
        <v>173</v>
      </c>
      <c r="F108" s="49">
        <v>4768</v>
      </c>
      <c r="G108" s="49">
        <v>1658</v>
      </c>
      <c r="H108" s="49">
        <v>8246</v>
      </c>
      <c r="I108" s="41">
        <v>2052</v>
      </c>
      <c r="J108" s="41">
        <f>360+450</f>
        <v>810</v>
      </c>
      <c r="K108" s="41">
        <v>800</v>
      </c>
      <c r="L108" s="41">
        <v>800</v>
      </c>
      <c r="M108" s="41">
        <v>10800</v>
      </c>
      <c r="N108" s="29"/>
    </row>
    <row r="109" spans="2:14" x14ac:dyDescent="0.2">
      <c r="B109" s="35"/>
      <c r="C109" s="35"/>
      <c r="D109" s="35"/>
      <c r="E109" s="36" t="s">
        <v>181</v>
      </c>
      <c r="F109" s="49">
        <v>0</v>
      </c>
      <c r="G109" s="49">
        <v>0</v>
      </c>
      <c r="H109" s="49">
        <v>0</v>
      </c>
      <c r="I109" s="41">
        <v>74148</v>
      </c>
      <c r="J109" s="41">
        <v>95602.48</v>
      </c>
      <c r="K109" s="41">
        <v>79000</v>
      </c>
      <c r="L109" s="41">
        <v>70445</v>
      </c>
      <c r="M109" s="41">
        <v>49519</v>
      </c>
      <c r="N109" s="29"/>
    </row>
    <row r="110" spans="2:14" x14ac:dyDescent="0.2">
      <c r="B110" s="276" t="s">
        <v>272</v>
      </c>
      <c r="C110" s="276"/>
      <c r="D110" s="276"/>
      <c r="E110" s="276"/>
      <c r="F110" s="42">
        <f t="shared" ref="F110:M110" si="47">SUM(F111:F121)</f>
        <v>2667481.38</v>
      </c>
      <c r="G110" s="42">
        <f t="shared" si="47"/>
        <v>6203003.4500000002</v>
      </c>
      <c r="H110" s="42">
        <f t="shared" si="47"/>
        <v>6452088.9299999997</v>
      </c>
      <c r="I110" s="42">
        <f t="shared" si="47"/>
        <v>7175073.6200000001</v>
      </c>
      <c r="J110" s="42">
        <f t="shared" si="47"/>
        <v>6752617.1499999994</v>
      </c>
      <c r="K110" s="42">
        <f t="shared" si="47"/>
        <v>7405000</v>
      </c>
      <c r="L110" s="42">
        <f t="shared" si="47"/>
        <v>7405000</v>
      </c>
      <c r="M110" s="42">
        <f t="shared" si="47"/>
        <v>8011360</v>
      </c>
    </row>
    <row r="111" spans="2:14" x14ac:dyDescent="0.2">
      <c r="B111" s="202"/>
      <c r="C111" s="202"/>
      <c r="D111" s="202"/>
      <c r="E111" s="35" t="s">
        <v>275</v>
      </c>
      <c r="F111" s="148">
        <v>30073</v>
      </c>
      <c r="G111" s="148">
        <v>31771.54</v>
      </c>
      <c r="H111" s="148">
        <v>27252</v>
      </c>
      <c r="I111" s="148">
        <v>0</v>
      </c>
      <c r="J111" s="148">
        <v>24699</v>
      </c>
      <c r="K111" s="41">
        <v>30000</v>
      </c>
      <c r="L111" s="41">
        <v>30000</v>
      </c>
      <c r="M111" s="41">
        <v>30000</v>
      </c>
    </row>
    <row r="112" spans="2:14" x14ac:dyDescent="0.2">
      <c r="B112" s="202"/>
      <c r="C112" s="202"/>
      <c r="D112" s="202"/>
      <c r="E112" s="35" t="s">
        <v>367</v>
      </c>
      <c r="F112" s="148">
        <v>391851</v>
      </c>
      <c r="G112" s="148">
        <v>0</v>
      </c>
      <c r="H112" s="148">
        <v>0</v>
      </c>
      <c r="I112" s="148">
        <v>0</v>
      </c>
      <c r="J112" s="148">
        <v>0</v>
      </c>
      <c r="K112" s="41">
        <v>0</v>
      </c>
      <c r="L112" s="41">
        <v>0</v>
      </c>
      <c r="M112" s="41">
        <v>0</v>
      </c>
    </row>
    <row r="113" spans="2:13" x14ac:dyDescent="0.2">
      <c r="B113" s="202"/>
      <c r="C113" s="202"/>
      <c r="D113" s="202"/>
      <c r="E113" s="35" t="s">
        <v>368</v>
      </c>
      <c r="F113" s="148">
        <v>45833.31</v>
      </c>
      <c r="G113" s="148">
        <v>50000.02</v>
      </c>
      <c r="H113" s="148">
        <v>50416.67</v>
      </c>
      <c r="I113" s="148">
        <v>49853.120000000003</v>
      </c>
      <c r="J113" s="148">
        <v>41666.68</v>
      </c>
      <c r="K113" s="41">
        <v>50000</v>
      </c>
      <c r="L113" s="41">
        <v>50000</v>
      </c>
      <c r="M113" s="41">
        <v>50000</v>
      </c>
    </row>
    <row r="114" spans="2:13" x14ac:dyDescent="0.2">
      <c r="B114" s="202"/>
      <c r="C114" s="202"/>
      <c r="D114" s="202"/>
      <c r="E114" s="35" t="s">
        <v>283</v>
      </c>
      <c r="F114" s="148">
        <v>250761.45</v>
      </c>
      <c r="G114" s="148">
        <v>255576.76</v>
      </c>
      <c r="H114" s="148">
        <v>321916.84000000003</v>
      </c>
      <c r="I114" s="148">
        <v>317892.24</v>
      </c>
      <c r="J114" s="148">
        <v>285981.11</v>
      </c>
      <c r="K114" s="41">
        <v>370000</v>
      </c>
      <c r="L114" s="41">
        <v>370000</v>
      </c>
      <c r="M114" s="41">
        <v>400000</v>
      </c>
    </row>
    <row r="115" spans="2:13" x14ac:dyDescent="0.2">
      <c r="B115" s="202"/>
      <c r="C115" s="202"/>
      <c r="D115" s="202"/>
      <c r="E115" s="72" t="s">
        <v>318</v>
      </c>
      <c r="F115" s="148">
        <v>1422982</v>
      </c>
      <c r="G115" s="148">
        <v>501271.24</v>
      </c>
      <c r="H115" s="148">
        <v>732836.47</v>
      </c>
      <c r="I115" s="148">
        <v>610791.06999999995</v>
      </c>
      <c r="J115" s="148">
        <v>579488.42000000004</v>
      </c>
      <c r="K115" s="41">
        <v>675000</v>
      </c>
      <c r="L115" s="41">
        <v>675000</v>
      </c>
      <c r="M115" s="41">
        <v>720644</v>
      </c>
    </row>
    <row r="116" spans="2:13" x14ac:dyDescent="0.2">
      <c r="B116" s="202"/>
      <c r="C116" s="202"/>
      <c r="D116" s="202"/>
      <c r="E116" s="72" t="s">
        <v>513</v>
      </c>
      <c r="F116" s="148">
        <v>195508.85</v>
      </c>
      <c r="G116" s="148">
        <v>400445.83</v>
      </c>
      <c r="H116" s="148">
        <v>382991.27</v>
      </c>
      <c r="I116" s="148">
        <v>396618.83</v>
      </c>
      <c r="J116" s="148">
        <v>403162.53</v>
      </c>
      <c r="K116" s="41">
        <v>430000</v>
      </c>
      <c r="L116" s="41">
        <v>430000</v>
      </c>
      <c r="M116" s="41">
        <v>536062</v>
      </c>
    </row>
    <row r="117" spans="2:13" x14ac:dyDescent="0.2">
      <c r="B117" s="202"/>
      <c r="C117" s="202"/>
      <c r="D117" s="202"/>
      <c r="E117" s="72" t="s">
        <v>514</v>
      </c>
      <c r="F117" s="148">
        <v>414757</v>
      </c>
      <c r="G117" s="148">
        <v>462624.79</v>
      </c>
      <c r="H117" s="148">
        <v>876595.85</v>
      </c>
      <c r="I117" s="148">
        <v>1104001.72</v>
      </c>
      <c r="J117" s="148">
        <v>680473.39</v>
      </c>
      <c r="K117" s="41">
        <v>700000</v>
      </c>
      <c r="L117" s="41">
        <v>700000</v>
      </c>
      <c r="M117" s="41">
        <v>750000</v>
      </c>
    </row>
    <row r="118" spans="2:13" x14ac:dyDescent="0.2">
      <c r="B118" s="202"/>
      <c r="C118" s="202"/>
      <c r="D118" s="202"/>
      <c r="E118" s="72" t="s">
        <v>515</v>
      </c>
      <c r="F118" s="148">
        <v>1653138.86</v>
      </c>
      <c r="G118" s="148">
        <v>1893719.01</v>
      </c>
      <c r="H118" s="148">
        <v>1725579.83</v>
      </c>
      <c r="I118" s="148">
        <v>2245767.7000000002</v>
      </c>
      <c r="J118" s="148">
        <v>2433289.67</v>
      </c>
      <c r="K118" s="41">
        <v>2300000</v>
      </c>
      <c r="L118" s="41">
        <v>2300000</v>
      </c>
      <c r="M118" s="41">
        <v>2699654</v>
      </c>
    </row>
    <row r="119" spans="2:13" x14ac:dyDescent="0.2">
      <c r="B119" s="202"/>
      <c r="C119" s="202"/>
      <c r="D119" s="202"/>
      <c r="E119" s="72" t="s">
        <v>369</v>
      </c>
      <c r="F119" s="148">
        <v>-4045839</v>
      </c>
      <c r="G119" s="148">
        <v>0</v>
      </c>
      <c r="H119" s="148">
        <v>0</v>
      </c>
      <c r="I119" s="148">
        <v>0</v>
      </c>
      <c r="J119" s="148">
        <v>0</v>
      </c>
      <c r="K119" s="41">
        <v>0</v>
      </c>
      <c r="L119" s="41">
        <v>0</v>
      </c>
      <c r="M119" s="41">
        <v>0</v>
      </c>
    </row>
    <row r="120" spans="2:13" x14ac:dyDescent="0.2">
      <c r="B120" s="202"/>
      <c r="C120" s="202"/>
      <c r="D120" s="202"/>
      <c r="E120" s="72" t="s">
        <v>516</v>
      </c>
      <c r="F120" s="148">
        <v>8414.91</v>
      </c>
      <c r="G120" s="148">
        <f>304394.26+3200</f>
        <v>307594.26</v>
      </c>
      <c r="H120" s="148">
        <v>34500</v>
      </c>
      <c r="I120" s="148">
        <v>150148.94</v>
      </c>
      <c r="J120" s="148">
        <v>3856.35</v>
      </c>
      <c r="K120" s="41">
        <v>50000</v>
      </c>
      <c r="L120" s="41">
        <v>50000</v>
      </c>
      <c r="M120" s="41">
        <v>25000</v>
      </c>
    </row>
    <row r="121" spans="2:13" x14ac:dyDescent="0.2">
      <c r="B121" s="202"/>
      <c r="C121" s="202"/>
      <c r="D121" s="202"/>
      <c r="E121" s="35" t="s">
        <v>370</v>
      </c>
      <c r="F121" s="148">
        <v>2300000</v>
      </c>
      <c r="G121" s="148">
        <v>2300000</v>
      </c>
      <c r="H121" s="148">
        <v>2300000</v>
      </c>
      <c r="I121" s="148">
        <v>2300000</v>
      </c>
      <c r="J121" s="148">
        <v>2300000</v>
      </c>
      <c r="K121" s="41">
        <v>2800000</v>
      </c>
      <c r="L121" s="41">
        <v>2800000</v>
      </c>
      <c r="M121" s="41">
        <v>2800000</v>
      </c>
    </row>
    <row r="122" spans="2:13" x14ac:dyDescent="0.2">
      <c r="B122" s="276" t="s">
        <v>371</v>
      </c>
      <c r="C122" s="276"/>
      <c r="D122" s="276"/>
      <c r="E122" s="276"/>
      <c r="F122" s="42">
        <f>SUM(F123:F124)</f>
        <v>1803414</v>
      </c>
      <c r="G122" s="42">
        <f t="shared" ref="G122:M122" si="48">SUM(G123:G124)</f>
        <v>6976130</v>
      </c>
      <c r="H122" s="42">
        <f t="shared" si="48"/>
        <v>8486324</v>
      </c>
      <c r="I122" s="42">
        <f t="shared" si="48"/>
        <v>9222437</v>
      </c>
      <c r="J122" s="42">
        <f t="shared" si="48"/>
        <v>8236295</v>
      </c>
      <c r="K122" s="42">
        <f t="shared" si="48"/>
        <v>7104792</v>
      </c>
      <c r="L122" s="42">
        <f t="shared" si="48"/>
        <v>7104792</v>
      </c>
      <c r="M122" s="42">
        <f t="shared" si="48"/>
        <v>7283929</v>
      </c>
    </row>
    <row r="123" spans="2:13" x14ac:dyDescent="0.2">
      <c r="B123" s="202"/>
      <c r="C123" s="202"/>
      <c r="D123" s="202"/>
      <c r="E123" s="35" t="s">
        <v>339</v>
      </c>
      <c r="F123" s="148">
        <v>1803414</v>
      </c>
      <c r="G123" s="148">
        <v>5288130</v>
      </c>
      <c r="H123" s="148">
        <v>4924324</v>
      </c>
      <c r="I123" s="148">
        <v>5172437</v>
      </c>
      <c r="J123" s="148">
        <v>5532295</v>
      </c>
      <c r="K123" s="41">
        <v>5294792</v>
      </c>
      <c r="L123" s="41">
        <v>5294792</v>
      </c>
      <c r="M123" s="41">
        <v>5688929</v>
      </c>
    </row>
    <row r="124" spans="2:13" x14ac:dyDescent="0.2">
      <c r="B124" s="202"/>
      <c r="C124" s="202"/>
      <c r="D124" s="202"/>
      <c r="E124" s="35" t="s">
        <v>372</v>
      </c>
      <c r="F124" s="148">
        <v>0</v>
      </c>
      <c r="G124" s="148">
        <v>1688000</v>
      </c>
      <c r="H124" s="148">
        <v>3562000</v>
      </c>
      <c r="I124" s="148">
        <v>4050000</v>
      </c>
      <c r="J124" s="148">
        <v>2704000</v>
      </c>
      <c r="K124" s="41">
        <v>1810000</v>
      </c>
      <c r="L124" s="41">
        <v>1810000</v>
      </c>
      <c r="M124" s="41">
        <v>1595000</v>
      </c>
    </row>
  </sheetData>
  <mergeCells count="51">
    <mergeCell ref="C43:E43"/>
    <mergeCell ref="A29:E29"/>
    <mergeCell ref="D32:E32"/>
    <mergeCell ref="C31:E31"/>
    <mergeCell ref="D37:E37"/>
    <mergeCell ref="D39:E39"/>
    <mergeCell ref="D44:E44"/>
    <mergeCell ref="D48:E48"/>
    <mergeCell ref="D50:E50"/>
    <mergeCell ref="D54:E54"/>
    <mergeCell ref="C53:E53"/>
    <mergeCell ref="A1:E1"/>
    <mergeCell ref="A2:E2"/>
    <mergeCell ref="B3:E3"/>
    <mergeCell ref="B4:E4"/>
    <mergeCell ref="B5:E5"/>
    <mergeCell ref="B6:E6"/>
    <mergeCell ref="B7:E7"/>
    <mergeCell ref="B8:E8"/>
    <mergeCell ref="B9:E9"/>
    <mergeCell ref="B10:E10"/>
    <mergeCell ref="B11:E11"/>
    <mergeCell ref="B12:E12"/>
    <mergeCell ref="B13:E13"/>
    <mergeCell ref="B14:E14"/>
    <mergeCell ref="B15:E15"/>
    <mergeCell ref="B22:E22"/>
    <mergeCell ref="B21:E21"/>
    <mergeCell ref="B26:E26"/>
    <mergeCell ref="B16:E16"/>
    <mergeCell ref="B17:E17"/>
    <mergeCell ref="B18:E18"/>
    <mergeCell ref="B25:E25"/>
    <mergeCell ref="B20:E20"/>
    <mergeCell ref="B19:E19"/>
    <mergeCell ref="B110:E110"/>
    <mergeCell ref="B122:E122"/>
    <mergeCell ref="B28:E28"/>
    <mergeCell ref="B24:E24"/>
    <mergeCell ref="B23:E23"/>
    <mergeCell ref="B27:E27"/>
    <mergeCell ref="D83:E83"/>
    <mergeCell ref="C86:E86"/>
    <mergeCell ref="D87:E87"/>
    <mergeCell ref="D96:E96"/>
    <mergeCell ref="D99:E99"/>
    <mergeCell ref="D67:E67"/>
    <mergeCell ref="D64:E64"/>
    <mergeCell ref="D81:E81"/>
    <mergeCell ref="D77:E77"/>
    <mergeCell ref="C76:E76"/>
  </mergeCells>
  <conditionalFormatting sqref="F1:M32 K111:M121">
    <cfRule type="cellIs" dxfId="17" priority="8" operator="lessThan">
      <formula>0</formula>
    </cfRule>
  </conditionalFormatting>
  <conditionalFormatting sqref="I33:M76 F37:H37 F39:H39 F43:H44 F48:H48 F50:H50 F53:H54 F64:H64 F67:H67 F76:H76 F77:M77 I78:M109 F81:H81 F83:H83 F86:H87 F96:H96 F99:H99">
    <cfRule type="cellIs" dxfId="16" priority="17" operator="lessThan">
      <formula>0</formula>
    </cfRule>
  </conditionalFormatting>
  <conditionalFormatting sqref="K123:M124">
    <cfRule type="cellIs" dxfId="15" priority="1" operator="lessThan">
      <formula>0</formula>
    </cfRule>
  </conditionalFormatting>
  <pageMargins left="0" right="0" top="0" bottom="0"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4886-275F-4453-BEB8-9BA69BFBADCE}">
  <dimension ref="A1:N25"/>
  <sheetViews>
    <sheetView zoomScale="90" zoomScaleNormal="90" workbookViewId="0">
      <pane ySplit="1" topLeftCell="A2" activePane="bottomLeft" state="frozen"/>
      <selection activeCell="N22" sqref="N22"/>
      <selection pane="bottomLeft" sqref="A1:XFD1048576"/>
    </sheetView>
  </sheetViews>
  <sheetFormatPr defaultColWidth="9.33203125" defaultRowHeight="12.75" x14ac:dyDescent="0.2"/>
  <cols>
    <col min="1" max="3" width="5" style="5" customWidth="1"/>
    <col min="4" max="4" width="46.1640625" style="5" bestFit="1" customWidth="1"/>
    <col min="5" max="12" width="17" style="5" customWidth="1"/>
    <col min="13" max="16384" width="9.33203125" style="1"/>
  </cols>
  <sheetData>
    <row r="1" spans="1:14" ht="25.5" customHeight="1" x14ac:dyDescent="0.2">
      <c r="A1" s="293" t="s">
        <v>373</v>
      </c>
      <c r="B1" s="294"/>
      <c r="C1" s="294"/>
      <c r="D1" s="295"/>
      <c r="E1" s="221" t="s">
        <v>374</v>
      </c>
      <c r="F1" s="221" t="s">
        <v>375</v>
      </c>
      <c r="G1" s="221" t="s">
        <v>376</v>
      </c>
      <c r="H1" s="221" t="s">
        <v>4</v>
      </c>
      <c r="I1" s="221" t="s">
        <v>5</v>
      </c>
      <c r="J1" s="221" t="s">
        <v>6</v>
      </c>
      <c r="K1" s="221" t="s">
        <v>7</v>
      </c>
      <c r="L1" s="221" t="s">
        <v>8</v>
      </c>
    </row>
    <row r="2" spans="1:14" x14ac:dyDescent="0.2">
      <c r="A2" s="296" t="s">
        <v>9</v>
      </c>
      <c r="B2" s="296"/>
      <c r="C2" s="296"/>
      <c r="D2" s="296"/>
      <c r="E2" s="7">
        <f t="shared" ref="E2:L2" si="0">SUM(E3:E6)</f>
        <v>0</v>
      </c>
      <c r="F2" s="7">
        <f t="shared" si="0"/>
        <v>0</v>
      </c>
      <c r="G2" s="7">
        <f t="shared" si="0"/>
        <v>0</v>
      </c>
      <c r="H2" s="7">
        <f t="shared" si="0"/>
        <v>1340822</v>
      </c>
      <c r="I2" s="7">
        <f t="shared" si="0"/>
        <v>1830644.14</v>
      </c>
      <c r="J2" s="7">
        <f t="shared" si="0"/>
        <v>1358696</v>
      </c>
      <c r="K2" s="7">
        <f t="shared" si="0"/>
        <v>3155512</v>
      </c>
      <c r="L2" s="7">
        <f t="shared" si="0"/>
        <v>2285237</v>
      </c>
    </row>
    <row r="3" spans="1:14" x14ac:dyDescent="0.2">
      <c r="A3" s="6"/>
      <c r="B3" s="298" t="s">
        <v>11</v>
      </c>
      <c r="C3" s="298"/>
      <c r="D3" s="298"/>
      <c r="E3" s="53">
        <v>0</v>
      </c>
      <c r="F3" s="53">
        <v>0</v>
      </c>
      <c r="G3" s="8">
        <v>0</v>
      </c>
      <c r="H3" s="9">
        <v>0</v>
      </c>
      <c r="I3" s="9">
        <v>0</v>
      </c>
      <c r="J3" s="9">
        <v>-1367525</v>
      </c>
      <c r="K3" s="9">
        <v>0</v>
      </c>
      <c r="L3" s="9">
        <v>-1349724</v>
      </c>
    </row>
    <row r="4" spans="1:14" x14ac:dyDescent="0.2">
      <c r="A4" s="6"/>
      <c r="B4" s="249" t="s">
        <v>377</v>
      </c>
      <c r="C4" s="249"/>
      <c r="D4" s="249"/>
      <c r="E4" s="54">
        <v>0</v>
      </c>
      <c r="F4" s="54">
        <v>0</v>
      </c>
      <c r="G4" s="9">
        <v>0</v>
      </c>
      <c r="H4" s="9">
        <v>0</v>
      </c>
      <c r="I4" s="9">
        <v>0</v>
      </c>
      <c r="J4" s="9">
        <v>0</v>
      </c>
      <c r="K4" s="9">
        <v>500000</v>
      </c>
      <c r="L4" s="9">
        <v>0</v>
      </c>
    </row>
    <row r="5" spans="1:14" x14ac:dyDescent="0.2">
      <c r="A5" s="6"/>
      <c r="B5" s="298" t="s">
        <v>378</v>
      </c>
      <c r="C5" s="298"/>
      <c r="D5" s="298"/>
      <c r="E5" s="53">
        <v>0</v>
      </c>
      <c r="F5" s="53">
        <v>0</v>
      </c>
      <c r="G5" s="8">
        <v>0</v>
      </c>
      <c r="H5" s="9">
        <v>901286</v>
      </c>
      <c r="I5" s="9">
        <v>1830644.14</v>
      </c>
      <c r="J5" s="9">
        <v>2726221</v>
      </c>
      <c r="K5" s="9">
        <v>2655512</v>
      </c>
      <c r="L5" s="9">
        <v>3634961</v>
      </c>
    </row>
    <row r="6" spans="1:14" x14ac:dyDescent="0.2">
      <c r="A6" s="6"/>
      <c r="B6" s="298" t="s">
        <v>146</v>
      </c>
      <c r="C6" s="298"/>
      <c r="D6" s="298"/>
      <c r="E6" s="53">
        <v>0</v>
      </c>
      <c r="F6" s="53">
        <v>0</v>
      </c>
      <c r="G6" s="8">
        <v>0</v>
      </c>
      <c r="H6" s="9">
        <v>439536</v>
      </c>
      <c r="I6" s="9">
        <v>0</v>
      </c>
      <c r="J6" s="9">
        <v>0</v>
      </c>
      <c r="K6" s="9">
        <v>0</v>
      </c>
      <c r="L6" s="9">
        <v>0</v>
      </c>
    </row>
    <row r="7" spans="1:14" x14ac:dyDescent="0.2">
      <c r="A7" s="297" t="s">
        <v>161</v>
      </c>
      <c r="B7" s="297"/>
      <c r="C7" s="297"/>
      <c r="D7" s="297"/>
      <c r="E7" s="10">
        <f>E8+E14+E20</f>
        <v>0</v>
      </c>
      <c r="F7" s="10">
        <f t="shared" ref="F7:L7" si="1">F8+F14+F20</f>
        <v>0</v>
      </c>
      <c r="G7" s="10">
        <f t="shared" si="1"/>
        <v>0</v>
      </c>
      <c r="H7" s="10">
        <f t="shared" si="1"/>
        <v>3943267</v>
      </c>
      <c r="I7" s="10">
        <f t="shared" si="1"/>
        <v>4495456.59</v>
      </c>
      <c r="J7" s="10">
        <f t="shared" si="1"/>
        <v>1358696</v>
      </c>
      <c r="K7" s="10">
        <f t="shared" si="1"/>
        <v>1837568</v>
      </c>
      <c r="L7" s="10">
        <f t="shared" si="1"/>
        <v>2285237</v>
      </c>
    </row>
    <row r="8" spans="1:14" x14ac:dyDescent="0.2">
      <c r="A8" s="204"/>
      <c r="B8" s="290" t="s">
        <v>361</v>
      </c>
      <c r="C8" s="291"/>
      <c r="D8" s="292"/>
      <c r="E8" s="11">
        <f>E9+E12</f>
        <v>0</v>
      </c>
      <c r="F8" s="11">
        <f t="shared" ref="F8:L8" si="2">F9+F12</f>
        <v>0</v>
      </c>
      <c r="G8" s="11">
        <f t="shared" si="2"/>
        <v>0</v>
      </c>
      <c r="H8" s="11">
        <f t="shared" si="2"/>
        <v>3845553</v>
      </c>
      <c r="I8" s="11">
        <f t="shared" si="2"/>
        <v>3896003.59</v>
      </c>
      <c r="J8" s="11">
        <f t="shared" si="2"/>
        <v>653950</v>
      </c>
      <c r="K8" s="11">
        <f t="shared" si="2"/>
        <v>1132822</v>
      </c>
      <c r="L8" s="11">
        <f t="shared" si="2"/>
        <v>1155459</v>
      </c>
    </row>
    <row r="9" spans="1:14" ht="12.75" customHeight="1" x14ac:dyDescent="0.2">
      <c r="A9" s="6"/>
      <c r="B9" s="203"/>
      <c r="C9" s="279" t="s">
        <v>164</v>
      </c>
      <c r="D9" s="281"/>
      <c r="E9" s="11">
        <f t="shared" ref="E9:L9" si="3">E10+E11</f>
        <v>0</v>
      </c>
      <c r="F9" s="11">
        <f t="shared" si="3"/>
        <v>0</v>
      </c>
      <c r="G9" s="11">
        <f t="shared" si="3"/>
        <v>0</v>
      </c>
      <c r="H9" s="11">
        <f t="shared" si="3"/>
        <v>227109</v>
      </c>
      <c r="I9" s="11">
        <f t="shared" si="3"/>
        <v>138548.59</v>
      </c>
      <c r="J9" s="11">
        <f t="shared" si="3"/>
        <v>148950</v>
      </c>
      <c r="K9" s="11">
        <f t="shared" si="3"/>
        <v>149322</v>
      </c>
      <c r="L9" s="11">
        <f t="shared" si="3"/>
        <v>151459</v>
      </c>
      <c r="M9" s="4"/>
      <c r="N9" s="4"/>
    </row>
    <row r="10" spans="1:14" x14ac:dyDescent="0.2">
      <c r="A10" s="6"/>
      <c r="B10" s="46"/>
      <c r="C10" s="46"/>
      <c r="D10" s="47" t="s">
        <v>165</v>
      </c>
      <c r="E10" s="48">
        <v>0</v>
      </c>
      <c r="F10" s="48">
        <v>0</v>
      </c>
      <c r="G10" s="49">
        <v>0</v>
      </c>
      <c r="H10" s="41">
        <v>227109</v>
      </c>
      <c r="I10" s="41">
        <v>138048.59</v>
      </c>
      <c r="J10" s="41">
        <v>148450</v>
      </c>
      <c r="K10" s="41">
        <v>148822</v>
      </c>
      <c r="L10" s="41">
        <v>150959</v>
      </c>
      <c r="M10" s="2"/>
      <c r="N10" s="2"/>
    </row>
    <row r="11" spans="1:14" x14ac:dyDescent="0.2">
      <c r="A11" s="6"/>
      <c r="B11" s="46"/>
      <c r="C11" s="46"/>
      <c r="D11" s="47" t="s">
        <v>225</v>
      </c>
      <c r="E11" s="48">
        <v>0</v>
      </c>
      <c r="F11" s="48">
        <v>0</v>
      </c>
      <c r="G11" s="49">
        <v>0</v>
      </c>
      <c r="H11" s="41">
        <v>0</v>
      </c>
      <c r="I11" s="41">
        <v>500</v>
      </c>
      <c r="J11" s="41">
        <v>500</v>
      </c>
      <c r="K11" s="41">
        <v>500</v>
      </c>
      <c r="L11" s="41">
        <v>500</v>
      </c>
      <c r="M11" s="2"/>
      <c r="N11" s="2"/>
    </row>
    <row r="12" spans="1:14" ht="12.75" customHeight="1" x14ac:dyDescent="0.2">
      <c r="A12" s="6"/>
      <c r="B12" s="199"/>
      <c r="C12" s="279" t="s">
        <v>175</v>
      </c>
      <c r="D12" s="281"/>
      <c r="E12" s="12">
        <f t="shared" ref="E12:L12" si="4">E13</f>
        <v>0</v>
      </c>
      <c r="F12" s="12">
        <f t="shared" si="4"/>
        <v>0</v>
      </c>
      <c r="G12" s="12">
        <f t="shared" si="4"/>
        <v>0</v>
      </c>
      <c r="H12" s="12">
        <f t="shared" si="4"/>
        <v>3618444</v>
      </c>
      <c r="I12" s="12">
        <f t="shared" si="4"/>
        <v>3757455</v>
      </c>
      <c r="J12" s="12">
        <f t="shared" si="4"/>
        <v>505000</v>
      </c>
      <c r="K12" s="12">
        <f t="shared" si="4"/>
        <v>983500</v>
      </c>
      <c r="L12" s="12">
        <f t="shared" si="4"/>
        <v>1004000</v>
      </c>
      <c r="M12" s="3"/>
      <c r="N12" s="3"/>
    </row>
    <row r="13" spans="1:14" x14ac:dyDescent="0.2">
      <c r="A13" s="6"/>
      <c r="B13" s="46"/>
      <c r="C13" s="46"/>
      <c r="D13" s="47" t="s">
        <v>171</v>
      </c>
      <c r="E13" s="48">
        <v>0</v>
      </c>
      <c r="F13" s="48">
        <v>0</v>
      </c>
      <c r="G13" s="49">
        <v>0</v>
      </c>
      <c r="H13" s="41">
        <v>3618444</v>
      </c>
      <c r="I13" s="41">
        <f>1521+3755934</f>
        <v>3757455</v>
      </c>
      <c r="J13" s="41">
        <v>505000</v>
      </c>
      <c r="K13" s="41">
        <v>983500</v>
      </c>
      <c r="L13" s="41">
        <v>1004000</v>
      </c>
      <c r="M13" s="2"/>
      <c r="N13" s="2"/>
    </row>
    <row r="14" spans="1:14" x14ac:dyDescent="0.2">
      <c r="B14" s="290" t="s">
        <v>272</v>
      </c>
      <c r="C14" s="291"/>
      <c r="D14" s="292"/>
      <c r="E14" s="208">
        <f>SUM(E15:E19)</f>
        <v>0</v>
      </c>
      <c r="F14" s="208">
        <f t="shared" ref="F14:L14" si="5">SUM(F15:F19)</f>
        <v>0</v>
      </c>
      <c r="G14" s="208">
        <f t="shared" si="5"/>
        <v>0</v>
      </c>
      <c r="H14" s="208">
        <f t="shared" si="5"/>
        <v>97714</v>
      </c>
      <c r="I14" s="208">
        <f t="shared" si="5"/>
        <v>272453</v>
      </c>
      <c r="J14" s="208">
        <f t="shared" si="5"/>
        <v>372626</v>
      </c>
      <c r="K14" s="208">
        <f t="shared" si="5"/>
        <v>372626</v>
      </c>
      <c r="L14" s="208">
        <f t="shared" si="5"/>
        <v>88459</v>
      </c>
    </row>
    <row r="15" spans="1:14" x14ac:dyDescent="0.2">
      <c r="B15" s="203"/>
      <c r="C15" s="205"/>
      <c r="D15" s="72" t="s">
        <v>318</v>
      </c>
      <c r="E15" s="209">
        <v>0</v>
      </c>
      <c r="F15" s="209">
        <v>0</v>
      </c>
      <c r="G15" s="209">
        <v>0</v>
      </c>
      <c r="H15" s="209">
        <v>0</v>
      </c>
      <c r="I15" s="209">
        <v>21008</v>
      </c>
      <c r="J15" s="41">
        <v>52657</v>
      </c>
      <c r="K15" s="41">
        <v>52657</v>
      </c>
      <c r="L15" s="41">
        <v>30242</v>
      </c>
    </row>
    <row r="16" spans="1:14" x14ac:dyDescent="0.2">
      <c r="B16" s="46"/>
      <c r="C16" s="46"/>
      <c r="D16" s="72" t="s">
        <v>513</v>
      </c>
      <c r="E16" s="209">
        <v>0</v>
      </c>
      <c r="F16" s="209">
        <v>0</v>
      </c>
      <c r="G16" s="209">
        <v>0</v>
      </c>
      <c r="H16" s="41">
        <v>0</v>
      </c>
      <c r="I16" s="41">
        <v>10317</v>
      </c>
      <c r="J16" s="41">
        <v>31127</v>
      </c>
      <c r="K16" s="41">
        <v>31127</v>
      </c>
      <c r="L16" s="41">
        <v>11587</v>
      </c>
    </row>
    <row r="17" spans="2:12" x14ac:dyDescent="0.2">
      <c r="B17" s="46"/>
      <c r="C17" s="46"/>
      <c r="D17" s="72" t="s">
        <v>514</v>
      </c>
      <c r="E17" s="209">
        <v>0</v>
      </c>
      <c r="F17" s="209">
        <v>0</v>
      </c>
      <c r="G17" s="209">
        <v>0</v>
      </c>
      <c r="H17" s="41">
        <v>0</v>
      </c>
      <c r="I17" s="41">
        <v>1700</v>
      </c>
      <c r="J17" s="41">
        <v>9700</v>
      </c>
      <c r="K17" s="41">
        <v>9700</v>
      </c>
      <c r="L17" s="41">
        <v>10000</v>
      </c>
    </row>
    <row r="18" spans="2:12" x14ac:dyDescent="0.2">
      <c r="B18" s="199"/>
      <c r="C18" s="199"/>
      <c r="D18" s="72" t="s">
        <v>515</v>
      </c>
      <c r="E18" s="209">
        <v>0</v>
      </c>
      <c r="F18" s="209">
        <v>0</v>
      </c>
      <c r="G18" s="209">
        <v>0</v>
      </c>
      <c r="H18" s="49">
        <v>0</v>
      </c>
      <c r="I18" s="49">
        <v>44000</v>
      </c>
      <c r="J18" s="41">
        <v>77851</v>
      </c>
      <c r="K18" s="41">
        <v>77851</v>
      </c>
      <c r="L18" s="41">
        <v>36630</v>
      </c>
    </row>
    <row r="19" spans="2:12" x14ac:dyDescent="0.2">
      <c r="B19" s="46"/>
      <c r="C19" s="46"/>
      <c r="D19" s="47" t="s">
        <v>370</v>
      </c>
      <c r="E19" s="48">
        <v>0</v>
      </c>
      <c r="F19" s="48">
        <v>0</v>
      </c>
      <c r="G19" s="49">
        <v>0</v>
      </c>
      <c r="H19" s="41">
        <v>97714</v>
      </c>
      <c r="I19" s="41">
        <v>195428</v>
      </c>
      <c r="J19" s="41">
        <v>201291</v>
      </c>
      <c r="K19" s="41">
        <v>201291</v>
      </c>
      <c r="L19" s="41">
        <v>0</v>
      </c>
    </row>
    <row r="20" spans="2:12" x14ac:dyDescent="0.2">
      <c r="B20" s="276" t="s">
        <v>371</v>
      </c>
      <c r="C20" s="276"/>
      <c r="D20" s="276"/>
      <c r="E20" s="42">
        <f t="shared" ref="E20:L20" si="6">SUM(E21:E22)</f>
        <v>0</v>
      </c>
      <c r="F20" s="42">
        <f t="shared" si="6"/>
        <v>0</v>
      </c>
      <c r="G20" s="42">
        <f t="shared" si="6"/>
        <v>0</v>
      </c>
      <c r="H20" s="42">
        <f t="shared" si="6"/>
        <v>0</v>
      </c>
      <c r="I20" s="42">
        <f t="shared" si="6"/>
        <v>327000</v>
      </c>
      <c r="J20" s="42">
        <f t="shared" si="6"/>
        <v>332120</v>
      </c>
      <c r="K20" s="42">
        <f t="shared" si="6"/>
        <v>332120</v>
      </c>
      <c r="L20" s="42">
        <f t="shared" si="6"/>
        <v>1041319</v>
      </c>
    </row>
    <row r="21" spans="2:12" x14ac:dyDescent="0.2">
      <c r="B21" s="206"/>
      <c r="C21" s="206"/>
      <c r="D21" s="46" t="s">
        <v>339</v>
      </c>
      <c r="E21" s="48">
        <v>0</v>
      </c>
      <c r="F21" s="48">
        <v>0</v>
      </c>
      <c r="G21" s="49">
        <v>0</v>
      </c>
      <c r="H21" s="148">
        <v>0</v>
      </c>
      <c r="I21" s="148">
        <f>172000+120000</f>
        <v>292000</v>
      </c>
      <c r="J21" s="41">
        <f>184000+113120</f>
        <v>297120</v>
      </c>
      <c r="K21" s="41">
        <f>184000+113120</f>
        <v>297120</v>
      </c>
      <c r="L21" s="41">
        <f>779317+262002</f>
        <v>1041319</v>
      </c>
    </row>
    <row r="22" spans="2:12" x14ac:dyDescent="0.2">
      <c r="B22" s="206"/>
      <c r="C22" s="206"/>
      <c r="D22" s="46" t="s">
        <v>372</v>
      </c>
      <c r="E22" s="48">
        <v>0</v>
      </c>
      <c r="F22" s="48">
        <v>0</v>
      </c>
      <c r="G22" s="49">
        <v>0</v>
      </c>
      <c r="H22" s="148">
        <v>0</v>
      </c>
      <c r="I22" s="148">
        <v>35000</v>
      </c>
      <c r="J22" s="41">
        <v>35000</v>
      </c>
      <c r="K22" s="41">
        <v>35000</v>
      </c>
      <c r="L22" s="41">
        <v>0</v>
      </c>
    </row>
    <row r="25" spans="2:12" x14ac:dyDescent="0.2">
      <c r="D25" s="135" t="s">
        <v>379</v>
      </c>
    </row>
  </sheetData>
  <mergeCells count="12">
    <mergeCell ref="A1:D1"/>
    <mergeCell ref="A2:D2"/>
    <mergeCell ref="A7:D7"/>
    <mergeCell ref="B3:D3"/>
    <mergeCell ref="B4:D4"/>
    <mergeCell ref="B5:D5"/>
    <mergeCell ref="B6:D6"/>
    <mergeCell ref="B20:D20"/>
    <mergeCell ref="C9:D9"/>
    <mergeCell ref="C12:D12"/>
    <mergeCell ref="B8:D8"/>
    <mergeCell ref="B14:D14"/>
  </mergeCells>
  <conditionalFormatting sqref="E2:G2">
    <cfRule type="cellIs" dxfId="14" priority="7" operator="lessThan">
      <formula>0</formula>
    </cfRule>
  </conditionalFormatting>
  <conditionalFormatting sqref="E1:L1 H2:L6 E7:L8 E9:G9 H9:L13 E12:G12">
    <cfRule type="cellIs" dxfId="13" priority="8" operator="lessThan">
      <formula>0</formula>
    </cfRule>
  </conditionalFormatting>
  <conditionalFormatting sqref="E14:L14 E15:G18">
    <cfRule type="cellIs" dxfId="12" priority="6" operator="lessThan">
      <formula>0</formula>
    </cfRule>
  </conditionalFormatting>
  <conditionalFormatting sqref="H15:L19">
    <cfRule type="cellIs" dxfId="11" priority="2" operator="lessThan">
      <formula>0</formula>
    </cfRule>
  </conditionalFormatting>
  <conditionalFormatting sqref="J21:L22">
    <cfRule type="cellIs" dxfId="10"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70E4-329B-4E38-ADF7-3BD057EAAA56}">
  <dimension ref="A1:AY43"/>
  <sheetViews>
    <sheetView zoomScale="90" zoomScaleNormal="90" workbookViewId="0">
      <pane ySplit="1" topLeftCell="A2" activePane="bottomLeft" state="frozen"/>
      <selection activeCell="N153" sqref="N153"/>
      <selection pane="bottomLeft" sqref="A1:XFD1048576"/>
    </sheetView>
  </sheetViews>
  <sheetFormatPr defaultColWidth="9.33203125" defaultRowHeight="12.75" x14ac:dyDescent="0.2"/>
  <cols>
    <col min="1" max="3" width="5" style="13" customWidth="1"/>
    <col min="4" max="4" width="50.5" style="13" bestFit="1" customWidth="1"/>
    <col min="5" max="12" width="17" style="13" customWidth="1"/>
    <col min="13" max="16384" width="9.33203125" style="13"/>
  </cols>
  <sheetData>
    <row r="1" spans="1:51" s="26" customFormat="1" ht="25.5" x14ac:dyDescent="0.2">
      <c r="A1" s="293" t="s">
        <v>380</v>
      </c>
      <c r="B1" s="294"/>
      <c r="C1" s="294"/>
      <c r="D1" s="295"/>
      <c r="E1" s="28" t="s">
        <v>1</v>
      </c>
      <c r="F1" s="28" t="s">
        <v>2</v>
      </c>
      <c r="G1" s="28" t="s">
        <v>3</v>
      </c>
      <c r="H1" s="28" t="s">
        <v>4</v>
      </c>
      <c r="I1" s="28" t="s">
        <v>5</v>
      </c>
      <c r="J1" s="28" t="s">
        <v>6</v>
      </c>
      <c r="K1" s="28" t="s">
        <v>7</v>
      </c>
      <c r="L1" s="28" t="s">
        <v>8</v>
      </c>
      <c r="M1" s="24"/>
      <c r="N1" s="24"/>
      <c r="O1" s="24"/>
      <c r="P1" s="24"/>
      <c r="Q1" s="24"/>
      <c r="R1" s="24"/>
      <c r="S1" s="24"/>
      <c r="T1" s="24"/>
      <c r="U1" s="24"/>
      <c r="V1" s="24"/>
      <c r="W1" s="24"/>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row>
    <row r="2" spans="1:51" s="26" customFormat="1" x14ac:dyDescent="0.2">
      <c r="A2" s="300" t="s">
        <v>9</v>
      </c>
      <c r="B2" s="300"/>
      <c r="C2" s="300"/>
      <c r="D2" s="300"/>
      <c r="E2" s="27">
        <f t="shared" ref="E2:L2" si="0">SUM(E3:E6)</f>
        <v>5503855</v>
      </c>
      <c r="F2" s="27">
        <f t="shared" si="0"/>
        <v>5185581</v>
      </c>
      <c r="G2" s="27">
        <f t="shared" si="0"/>
        <v>5212891</v>
      </c>
      <c r="H2" s="27">
        <f t="shared" si="0"/>
        <v>5364040</v>
      </c>
      <c r="I2" s="27">
        <f t="shared" si="0"/>
        <v>5372202.8599999994</v>
      </c>
      <c r="J2" s="27">
        <f t="shared" si="0"/>
        <v>6957357</v>
      </c>
      <c r="K2" s="27">
        <f t="shared" si="0"/>
        <v>6639000</v>
      </c>
      <c r="L2" s="27">
        <f t="shared" si="0"/>
        <v>7483800</v>
      </c>
      <c r="M2" s="24"/>
      <c r="N2" s="24"/>
      <c r="O2" s="24"/>
      <c r="P2" s="24"/>
      <c r="Q2" s="24"/>
      <c r="R2" s="24"/>
      <c r="S2" s="24"/>
      <c r="T2" s="24"/>
      <c r="U2" s="24"/>
      <c r="V2" s="24"/>
      <c r="W2" s="24"/>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row>
    <row r="3" spans="1:51" ht="14.1" customHeight="1" x14ac:dyDescent="0.2">
      <c r="B3" s="301" t="s">
        <v>11</v>
      </c>
      <c r="C3" s="301"/>
      <c r="D3" s="301"/>
      <c r="E3" s="129">
        <v>0</v>
      </c>
      <c r="F3" s="129">
        <v>0</v>
      </c>
      <c r="G3" s="55">
        <v>0</v>
      </c>
      <c r="H3" s="56">
        <v>0</v>
      </c>
      <c r="I3" s="56">
        <v>0</v>
      </c>
      <c r="J3" s="56">
        <v>162012</v>
      </c>
      <c r="K3" s="56">
        <v>0</v>
      </c>
      <c r="L3" s="56">
        <v>728800</v>
      </c>
      <c r="M3" s="25"/>
      <c r="N3" s="25"/>
      <c r="O3" s="25"/>
      <c r="P3" s="25"/>
    </row>
    <row r="4" spans="1:51" ht="14.1" customHeight="1" x14ac:dyDescent="0.2">
      <c r="B4" s="248" t="s">
        <v>360</v>
      </c>
      <c r="C4" s="248"/>
      <c r="D4" s="248"/>
      <c r="E4" s="130">
        <v>0</v>
      </c>
      <c r="F4" s="130">
        <v>0</v>
      </c>
      <c r="G4" s="57">
        <v>0</v>
      </c>
      <c r="H4" s="58">
        <v>0</v>
      </c>
      <c r="I4" s="58">
        <v>0</v>
      </c>
      <c r="J4" s="58">
        <v>0</v>
      </c>
      <c r="K4" s="58">
        <v>0</v>
      </c>
      <c r="L4" s="58">
        <v>0</v>
      </c>
      <c r="M4" s="25"/>
      <c r="N4" s="25"/>
      <c r="O4" s="25"/>
      <c r="P4" s="25"/>
    </row>
    <row r="5" spans="1:51" ht="14.1" customHeight="1" x14ac:dyDescent="0.2">
      <c r="B5" s="302" t="s">
        <v>381</v>
      </c>
      <c r="C5" s="302"/>
      <c r="D5" s="302"/>
      <c r="E5" s="131">
        <v>5421213</v>
      </c>
      <c r="F5" s="131">
        <v>5096025</v>
      </c>
      <c r="G5" s="59">
        <v>5139779</v>
      </c>
      <c r="H5" s="58">
        <v>5312406</v>
      </c>
      <c r="I5" s="58">
        <v>5343499.6399999997</v>
      </c>
      <c r="J5" s="58">
        <v>6740345</v>
      </c>
      <c r="K5" s="58">
        <v>6567000</v>
      </c>
      <c r="L5" s="58">
        <v>6700000</v>
      </c>
      <c r="M5" s="25"/>
      <c r="N5" s="25"/>
      <c r="O5" s="25"/>
      <c r="P5" s="25"/>
    </row>
    <row r="6" spans="1:51" ht="14.1" customHeight="1" x14ac:dyDescent="0.2">
      <c r="B6" s="302" t="s">
        <v>348</v>
      </c>
      <c r="C6" s="302"/>
      <c r="D6" s="302"/>
      <c r="E6" s="131">
        <v>82642</v>
      </c>
      <c r="F6" s="131">
        <v>89556</v>
      </c>
      <c r="G6" s="59">
        <v>73112</v>
      </c>
      <c r="H6" s="60">
        <v>51634</v>
      </c>
      <c r="I6" s="60">
        <v>28703.22</v>
      </c>
      <c r="J6" s="60">
        <v>55000</v>
      </c>
      <c r="K6" s="60">
        <v>72000</v>
      </c>
      <c r="L6" s="60">
        <v>55000</v>
      </c>
      <c r="M6" s="24"/>
      <c r="N6" s="24"/>
      <c r="O6" s="24"/>
      <c r="P6" s="21"/>
    </row>
    <row r="7" spans="1:51" ht="14.1" customHeight="1" x14ac:dyDescent="0.2">
      <c r="A7" s="251" t="s">
        <v>161</v>
      </c>
      <c r="B7" s="251"/>
      <c r="C7" s="251"/>
      <c r="D7" s="251"/>
      <c r="E7" s="23">
        <f>E8+E32+E41</f>
        <v>4108460.2</v>
      </c>
      <c r="F7" s="23">
        <f t="shared" ref="F7:L7" si="1">F8+F32+F41</f>
        <v>6392915.6600000001</v>
      </c>
      <c r="G7" s="23">
        <f t="shared" si="1"/>
        <v>5567715.25</v>
      </c>
      <c r="H7" s="23">
        <f t="shared" si="1"/>
        <v>8059364.3899999997</v>
      </c>
      <c r="I7" s="23">
        <f t="shared" si="1"/>
        <v>6661420.5499999989</v>
      </c>
      <c r="J7" s="23">
        <f t="shared" si="1"/>
        <v>6957358</v>
      </c>
      <c r="K7" s="23">
        <f t="shared" si="1"/>
        <v>6703764</v>
      </c>
      <c r="L7" s="23">
        <f t="shared" si="1"/>
        <v>7483800</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spans="1:51" ht="14.1" customHeight="1" x14ac:dyDescent="0.2">
      <c r="A8" s="112"/>
      <c r="B8" s="303" t="s">
        <v>361</v>
      </c>
      <c r="C8" s="304"/>
      <c r="D8" s="305"/>
      <c r="E8" s="30">
        <f>E9+E20</f>
        <v>2691616</v>
      </c>
      <c r="F8" s="30">
        <f t="shared" ref="F8:L8" si="2">F9+F20</f>
        <v>2878814</v>
      </c>
      <c r="G8" s="30">
        <f t="shared" si="2"/>
        <v>2956185</v>
      </c>
      <c r="H8" s="30">
        <f t="shared" si="2"/>
        <v>3483628</v>
      </c>
      <c r="I8" s="30">
        <f t="shared" si="2"/>
        <v>3247621.9599999995</v>
      </c>
      <c r="J8" s="30">
        <f t="shared" si="2"/>
        <v>3739765</v>
      </c>
      <c r="K8" s="30">
        <f t="shared" si="2"/>
        <v>3486171</v>
      </c>
      <c r="L8" s="30">
        <f t="shared" si="2"/>
        <v>3828929</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ht="14.1" customHeight="1" x14ac:dyDescent="0.2">
      <c r="B9" s="203"/>
      <c r="C9" s="279" t="s">
        <v>164</v>
      </c>
      <c r="D9" s="281"/>
      <c r="E9" s="30">
        <f t="shared" ref="E9:L9" si="3">SUM(E10:E19)</f>
        <v>2070871</v>
      </c>
      <c r="F9" s="30">
        <f t="shared" si="3"/>
        <v>1938386</v>
      </c>
      <c r="G9" s="30">
        <f t="shared" si="3"/>
        <v>2035755</v>
      </c>
      <c r="H9" s="30">
        <f t="shared" si="3"/>
        <v>2283460</v>
      </c>
      <c r="I9" s="30">
        <f t="shared" si="3"/>
        <v>2182272.7499999995</v>
      </c>
      <c r="J9" s="30">
        <f t="shared" si="3"/>
        <v>2281860</v>
      </c>
      <c r="K9" s="30">
        <f t="shared" si="3"/>
        <v>2220225</v>
      </c>
      <c r="L9" s="30">
        <f t="shared" si="3"/>
        <v>2355724</v>
      </c>
      <c r="M9" s="22"/>
      <c r="N9" s="22"/>
      <c r="O9" s="22"/>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ht="14.1" customHeight="1" x14ac:dyDescent="0.2">
      <c r="B10" s="19"/>
      <c r="C10" s="19"/>
      <c r="D10" s="18" t="s">
        <v>165</v>
      </c>
      <c r="E10" s="17">
        <v>297579</v>
      </c>
      <c r="F10" s="17">
        <v>256393</v>
      </c>
      <c r="G10" s="17">
        <v>228648</v>
      </c>
      <c r="H10" s="16">
        <v>374094</v>
      </c>
      <c r="I10" s="16">
        <v>300272.57</v>
      </c>
      <c r="J10" s="16">
        <v>278028</v>
      </c>
      <c r="K10" s="16">
        <v>292860</v>
      </c>
      <c r="L10" s="16">
        <v>297614</v>
      </c>
      <c r="M10" s="15"/>
      <c r="N10" s="15"/>
      <c r="O10" s="15"/>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row>
    <row r="11" spans="1:51" ht="14.1" customHeight="1" x14ac:dyDescent="0.2">
      <c r="B11" s="19"/>
      <c r="C11" s="19"/>
      <c r="D11" s="18" t="s">
        <v>233</v>
      </c>
      <c r="E11" s="17">
        <v>1405663</v>
      </c>
      <c r="F11" s="17">
        <v>1350648</v>
      </c>
      <c r="G11" s="17">
        <v>1476121</v>
      </c>
      <c r="H11" s="16">
        <v>1470933</v>
      </c>
      <c r="I11" s="16">
        <v>1435763.18</v>
      </c>
      <c r="J11" s="16">
        <v>1655232</v>
      </c>
      <c r="K11" s="16">
        <v>1522465</v>
      </c>
      <c r="L11" s="16">
        <v>1626310</v>
      </c>
      <c r="M11" s="15"/>
      <c r="N11" s="15"/>
      <c r="O11" s="15"/>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row>
    <row r="12" spans="1:51" ht="14.1" customHeight="1" x14ac:dyDescent="0.2">
      <c r="B12" s="19"/>
      <c r="C12" s="19"/>
      <c r="D12" s="18" t="s">
        <v>190</v>
      </c>
      <c r="E12" s="17">
        <v>351182</v>
      </c>
      <c r="F12" s="17">
        <v>328423</v>
      </c>
      <c r="G12" s="17">
        <v>377181</v>
      </c>
      <c r="H12" s="16">
        <v>438068</v>
      </c>
      <c r="I12" s="16">
        <v>437328.31</v>
      </c>
      <c r="J12" s="16">
        <v>385000</v>
      </c>
      <c r="K12" s="16">
        <v>450000</v>
      </c>
      <c r="L12" s="16">
        <v>475000</v>
      </c>
      <c r="M12" s="15"/>
      <c r="N12" s="15"/>
      <c r="O12" s="15"/>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row>
    <row r="13" spans="1:51" ht="14.1" customHeight="1" x14ac:dyDescent="0.2">
      <c r="B13" s="19"/>
      <c r="C13" s="19"/>
      <c r="D13" s="18" t="s">
        <v>234</v>
      </c>
      <c r="E13" s="17">
        <v>3861</v>
      </c>
      <c r="F13" s="17">
        <v>3550</v>
      </c>
      <c r="G13" s="17">
        <v>5634</v>
      </c>
      <c r="H13" s="16">
        <v>3863</v>
      </c>
      <c r="I13" s="16">
        <v>3165.55</v>
      </c>
      <c r="J13" s="16">
        <v>0</v>
      </c>
      <c r="K13" s="16">
        <v>800</v>
      </c>
      <c r="L13" s="16">
        <v>1000</v>
      </c>
      <c r="M13" s="15"/>
      <c r="N13" s="15"/>
      <c r="O13" s="15"/>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row>
    <row r="14" spans="1:51" ht="14.1" customHeight="1" x14ac:dyDescent="0.2">
      <c r="B14" s="19"/>
      <c r="C14" s="19"/>
      <c r="D14" s="213" t="s">
        <v>238</v>
      </c>
      <c r="E14" s="17">
        <v>250</v>
      </c>
      <c r="F14" s="17">
        <v>0</v>
      </c>
      <c r="G14" s="17">
        <v>0</v>
      </c>
      <c r="H14" s="16">
        <v>0</v>
      </c>
      <c r="I14" s="16">
        <v>0</v>
      </c>
      <c r="J14" s="16">
        <v>0</v>
      </c>
      <c r="K14" s="16">
        <v>0</v>
      </c>
      <c r="L14" s="16">
        <v>0</v>
      </c>
      <c r="M14" s="15"/>
      <c r="N14" s="15"/>
      <c r="O14" s="15"/>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row>
    <row r="15" spans="1:51" ht="14.1" customHeight="1" x14ac:dyDescent="0.2">
      <c r="B15" s="19"/>
      <c r="C15" s="19"/>
      <c r="D15" s="18" t="s">
        <v>178</v>
      </c>
      <c r="E15" s="17">
        <v>2468</v>
      </c>
      <c r="F15" s="17">
        <v>1030</v>
      </c>
      <c r="G15" s="17">
        <v>6360</v>
      </c>
      <c r="H15" s="16">
        <v>2202</v>
      </c>
      <c r="I15" s="16">
        <v>1967.26</v>
      </c>
      <c r="J15" s="16">
        <v>4000</v>
      </c>
      <c r="K15" s="16">
        <v>5000</v>
      </c>
      <c r="L15" s="16">
        <v>5000</v>
      </c>
      <c r="M15" s="15"/>
      <c r="N15" s="15"/>
      <c r="O15" s="15"/>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row>
    <row r="16" spans="1:51" ht="14.1" customHeight="1" x14ac:dyDescent="0.2">
      <c r="B16" s="19"/>
      <c r="C16" s="19"/>
      <c r="D16" s="18" t="s">
        <v>225</v>
      </c>
      <c r="E16" s="17">
        <v>11250</v>
      </c>
      <c r="F16" s="17">
        <v>11700</v>
      </c>
      <c r="G16" s="17">
        <v>12173</v>
      </c>
      <c r="H16" s="16">
        <v>12275</v>
      </c>
      <c r="I16" s="16">
        <v>13050</v>
      </c>
      <c r="J16" s="16">
        <v>13800</v>
      </c>
      <c r="K16" s="16">
        <v>13300</v>
      </c>
      <c r="L16" s="16">
        <v>13800</v>
      </c>
      <c r="M16" s="15"/>
      <c r="N16" s="15"/>
      <c r="O16" s="15"/>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row>
    <row r="17" spans="2:51" ht="14.1" customHeight="1" x14ac:dyDescent="0.2">
      <c r="B17" s="19"/>
      <c r="C17" s="19"/>
      <c r="D17" s="18" t="s">
        <v>235</v>
      </c>
      <c r="E17" s="17">
        <v>0</v>
      </c>
      <c r="F17" s="17">
        <v>0</v>
      </c>
      <c r="G17" s="17">
        <v>0</v>
      </c>
      <c r="H17" s="16">
        <v>7500</v>
      </c>
      <c r="I17" s="16">
        <v>13700</v>
      </c>
      <c r="J17" s="16">
        <v>10800</v>
      </c>
      <c r="K17" s="16">
        <v>10800</v>
      </c>
      <c r="L17" s="16">
        <v>12000</v>
      </c>
      <c r="M17" s="15"/>
      <c r="N17" s="15"/>
      <c r="O17" s="15"/>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2:51" ht="14.1" customHeight="1" x14ac:dyDescent="0.2">
      <c r="B18" s="19"/>
      <c r="C18" s="19"/>
      <c r="D18" s="18" t="s">
        <v>179</v>
      </c>
      <c r="E18" s="17">
        <v>-1382</v>
      </c>
      <c r="F18" s="17">
        <v>-13358</v>
      </c>
      <c r="G18" s="17">
        <v>-18004</v>
      </c>
      <c r="H18" s="16">
        <v>0</v>
      </c>
      <c r="I18" s="16">
        <v>-22974.12</v>
      </c>
      <c r="J18" s="16">
        <v>-30000</v>
      </c>
      <c r="K18" s="16">
        <v>-43000</v>
      </c>
      <c r="L18" s="16">
        <v>-40000</v>
      </c>
      <c r="M18" s="15"/>
      <c r="N18" s="15"/>
      <c r="O18" s="15"/>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row>
    <row r="19" spans="2:51" ht="14.1" customHeight="1" x14ac:dyDescent="0.2">
      <c r="B19" s="19"/>
      <c r="C19" s="19"/>
      <c r="D19" s="18" t="s">
        <v>240</v>
      </c>
      <c r="E19" s="17">
        <v>0</v>
      </c>
      <c r="F19" s="17">
        <v>0</v>
      </c>
      <c r="G19" s="17">
        <v>-52358</v>
      </c>
      <c r="H19" s="16">
        <v>-25475</v>
      </c>
      <c r="I19" s="16">
        <v>0</v>
      </c>
      <c r="J19" s="16">
        <v>-35000</v>
      </c>
      <c r="K19" s="16">
        <v>-32000</v>
      </c>
      <c r="L19" s="16">
        <v>-35000</v>
      </c>
      <c r="M19" s="15"/>
      <c r="N19" s="15"/>
      <c r="O19" s="15"/>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row>
    <row r="20" spans="2:51" ht="14.1" customHeight="1" x14ac:dyDescent="0.2">
      <c r="B20" s="217"/>
      <c r="C20" s="306" t="s">
        <v>175</v>
      </c>
      <c r="D20" s="307"/>
      <c r="E20" s="31">
        <f t="shared" ref="E20:L20" si="4">SUM(E21:E31)</f>
        <v>620745</v>
      </c>
      <c r="F20" s="31">
        <f t="shared" si="4"/>
        <v>940428</v>
      </c>
      <c r="G20" s="31">
        <f t="shared" si="4"/>
        <v>920430</v>
      </c>
      <c r="H20" s="31">
        <f t="shared" si="4"/>
        <v>1200168</v>
      </c>
      <c r="I20" s="31">
        <f t="shared" si="4"/>
        <v>1065349.21</v>
      </c>
      <c r="J20" s="31">
        <f t="shared" si="4"/>
        <v>1457905</v>
      </c>
      <c r="K20" s="31">
        <f t="shared" si="4"/>
        <v>1265946</v>
      </c>
      <c r="L20" s="31">
        <f t="shared" si="4"/>
        <v>1473205</v>
      </c>
      <c r="M20" s="20"/>
      <c r="N20" s="20"/>
      <c r="O20" s="20"/>
      <c r="P20" s="20"/>
      <c r="Q20" s="20"/>
      <c r="R20" s="20"/>
      <c r="S20" s="20"/>
      <c r="T20" s="20"/>
      <c r="U20" s="20"/>
      <c r="V20" s="20"/>
      <c r="W20" s="20"/>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row>
    <row r="21" spans="2:51" ht="14.1" customHeight="1" x14ac:dyDescent="0.2">
      <c r="B21" s="19"/>
      <c r="C21" s="19"/>
      <c r="D21" s="18" t="s">
        <v>242</v>
      </c>
      <c r="E21" s="17">
        <v>103554</v>
      </c>
      <c r="F21" s="17">
        <v>92430</v>
      </c>
      <c r="G21" s="17">
        <v>120457</v>
      </c>
      <c r="H21" s="16">
        <v>91404</v>
      </c>
      <c r="I21" s="16">
        <v>130128.56</v>
      </c>
      <c r="J21" s="16">
        <v>180000</v>
      </c>
      <c r="K21" s="16">
        <v>120000</v>
      </c>
      <c r="L21" s="16">
        <v>150000</v>
      </c>
      <c r="M21" s="15"/>
      <c r="N21" s="15"/>
      <c r="O21" s="15"/>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row>
    <row r="22" spans="2:51" ht="14.1" customHeight="1" x14ac:dyDescent="0.2">
      <c r="B22" s="19"/>
      <c r="C22" s="19"/>
      <c r="D22" s="18" t="s">
        <v>243</v>
      </c>
      <c r="E22" s="17">
        <v>83089</v>
      </c>
      <c r="F22" s="17">
        <v>87762</v>
      </c>
      <c r="G22" s="17">
        <v>49683</v>
      </c>
      <c r="H22" s="16">
        <v>46165</v>
      </c>
      <c r="I22" s="16">
        <f>120161.65+11999</f>
        <v>132160.65</v>
      </c>
      <c r="J22" s="16">
        <v>150000</v>
      </c>
      <c r="K22" s="16">
        <v>142000</v>
      </c>
      <c r="L22" s="16">
        <v>150000</v>
      </c>
      <c r="M22" s="15"/>
      <c r="N22" s="15"/>
      <c r="O22" s="15"/>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row>
    <row r="23" spans="2:51" ht="14.1" customHeight="1" x14ac:dyDescent="0.2">
      <c r="B23" s="19"/>
      <c r="C23" s="19"/>
      <c r="D23" s="18" t="s">
        <v>171</v>
      </c>
      <c r="E23" s="17">
        <v>399137</v>
      </c>
      <c r="F23" s="17">
        <v>734334</v>
      </c>
      <c r="G23" s="17">
        <v>727472</v>
      </c>
      <c r="H23" s="16">
        <v>1039770</v>
      </c>
      <c r="I23" s="16">
        <f>229398.39+5233.05+2080.8+6439.85+3850.5+498220.2+24083.88</f>
        <v>769306.67</v>
      </c>
      <c r="J23" s="16">
        <v>1184600</v>
      </c>
      <c r="K23" s="16">
        <v>1049270</v>
      </c>
      <c r="L23" s="16">
        <v>1229400</v>
      </c>
      <c r="M23" s="15"/>
      <c r="N23" s="15"/>
      <c r="O23" s="15"/>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row>
    <row r="24" spans="2:51" ht="14.1" customHeight="1" x14ac:dyDescent="0.2">
      <c r="B24" s="19"/>
      <c r="C24" s="19"/>
      <c r="D24" s="18" t="s">
        <v>201</v>
      </c>
      <c r="E24" s="17">
        <v>12607</v>
      </c>
      <c r="F24" s="17">
        <v>6624</v>
      </c>
      <c r="G24" s="17">
        <v>5053</v>
      </c>
      <c r="H24" s="16">
        <v>2017</v>
      </c>
      <c r="I24" s="16">
        <f>4826.86</f>
        <v>4826.8599999999997</v>
      </c>
      <c r="J24" s="16">
        <v>16000</v>
      </c>
      <c r="K24" s="16">
        <v>14780</v>
      </c>
      <c r="L24" s="16">
        <v>16500</v>
      </c>
      <c r="M24" s="15"/>
      <c r="N24" s="15"/>
      <c r="O24" s="15"/>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row>
    <row r="25" spans="2:51" ht="14.1" customHeight="1" x14ac:dyDescent="0.2">
      <c r="B25" s="19"/>
      <c r="C25" s="19"/>
      <c r="D25" s="18" t="s">
        <v>226</v>
      </c>
      <c r="E25" s="17">
        <v>4094</v>
      </c>
      <c r="F25" s="17">
        <v>3985</v>
      </c>
      <c r="G25" s="17">
        <v>4700</v>
      </c>
      <c r="H25" s="16">
        <v>4985</v>
      </c>
      <c r="I25" s="16">
        <v>4426.76</v>
      </c>
      <c r="J25" s="16">
        <v>7500</v>
      </c>
      <c r="K25" s="16">
        <v>7000</v>
      </c>
      <c r="L25" s="16">
        <v>7500</v>
      </c>
      <c r="M25" s="15"/>
      <c r="N25" s="15"/>
      <c r="O25" s="15"/>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row>
    <row r="26" spans="2:51" ht="14.1" customHeight="1" x14ac:dyDescent="0.2">
      <c r="B26" s="19"/>
      <c r="C26" s="19"/>
      <c r="D26" s="18" t="s">
        <v>172</v>
      </c>
      <c r="E26" s="17">
        <v>19102</v>
      </c>
      <c r="F26" s="17">
        <v>14338</v>
      </c>
      <c r="G26" s="17">
        <v>11775</v>
      </c>
      <c r="H26" s="16">
        <v>3600</v>
      </c>
      <c r="I26" s="16">
        <v>12314.64</v>
      </c>
      <c r="J26" s="16">
        <v>3600</v>
      </c>
      <c r="K26" s="16">
        <v>13741</v>
      </c>
      <c r="L26" s="16">
        <v>3600</v>
      </c>
      <c r="M26" s="15"/>
      <c r="N26" s="15"/>
      <c r="O26" s="15"/>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row>
    <row r="27" spans="2:51" ht="14.1" customHeight="1" x14ac:dyDescent="0.2">
      <c r="B27" s="19"/>
      <c r="C27" s="19"/>
      <c r="D27" s="18" t="s">
        <v>173</v>
      </c>
      <c r="E27" s="17">
        <v>0</v>
      </c>
      <c r="F27" s="17">
        <v>0</v>
      </c>
      <c r="G27" s="17">
        <v>250</v>
      </c>
      <c r="H27" s="16">
        <v>50</v>
      </c>
      <c r="I27" s="16">
        <v>0</v>
      </c>
      <c r="J27" s="16">
        <v>250</v>
      </c>
      <c r="K27" s="16">
        <v>200</v>
      </c>
      <c r="L27" s="16">
        <v>250</v>
      </c>
      <c r="M27" s="15"/>
      <c r="N27" s="15"/>
      <c r="O27" s="15"/>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row>
    <row r="28" spans="2:51" ht="14.1" customHeight="1" x14ac:dyDescent="0.2">
      <c r="B28" s="19"/>
      <c r="C28" s="19"/>
      <c r="D28" s="18" t="s">
        <v>181</v>
      </c>
      <c r="E28" s="17">
        <v>0</v>
      </c>
      <c r="F28" s="17">
        <v>0</v>
      </c>
      <c r="G28" s="17">
        <v>0</v>
      </c>
      <c r="H28" s="16">
        <v>11237</v>
      </c>
      <c r="I28" s="16">
        <v>12185.07</v>
      </c>
      <c r="J28" s="16">
        <v>15000</v>
      </c>
      <c r="K28" s="16">
        <v>14000</v>
      </c>
      <c r="L28" s="16">
        <v>15000</v>
      </c>
      <c r="M28" s="15"/>
      <c r="N28" s="15"/>
      <c r="O28" s="15"/>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row>
    <row r="29" spans="2:51" ht="14.1" customHeight="1" x14ac:dyDescent="0.2">
      <c r="B29" s="19"/>
      <c r="C29" s="19"/>
      <c r="D29" s="18" t="s">
        <v>182</v>
      </c>
      <c r="E29" s="17">
        <v>835</v>
      </c>
      <c r="F29" s="17">
        <v>0</v>
      </c>
      <c r="G29" s="17">
        <v>100</v>
      </c>
      <c r="H29" s="16">
        <v>0</v>
      </c>
      <c r="I29" s="16">
        <v>0</v>
      </c>
      <c r="J29" s="16">
        <v>0</v>
      </c>
      <c r="K29" s="16">
        <v>0</v>
      </c>
      <c r="L29" s="16">
        <v>0</v>
      </c>
      <c r="M29" s="15"/>
      <c r="N29" s="15"/>
      <c r="O29" s="15"/>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row>
    <row r="30" spans="2:51" ht="14.1" customHeight="1" x14ac:dyDescent="0.2">
      <c r="B30" s="19"/>
      <c r="C30" s="19"/>
      <c r="D30" s="18" t="s">
        <v>207</v>
      </c>
      <c r="E30" s="17">
        <v>900</v>
      </c>
      <c r="F30" s="17">
        <v>955</v>
      </c>
      <c r="G30" s="17">
        <v>940</v>
      </c>
      <c r="H30" s="16">
        <v>940</v>
      </c>
      <c r="I30" s="16">
        <v>0</v>
      </c>
      <c r="J30" s="16">
        <v>955</v>
      </c>
      <c r="K30" s="16">
        <v>955</v>
      </c>
      <c r="L30" s="16">
        <v>955</v>
      </c>
      <c r="M30" s="15"/>
      <c r="N30" s="15"/>
      <c r="O30" s="15"/>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row>
    <row r="31" spans="2:51" ht="14.1" customHeight="1" x14ac:dyDescent="0.2">
      <c r="B31" s="19"/>
      <c r="C31" s="19"/>
      <c r="D31" s="18" t="s">
        <v>183</v>
      </c>
      <c r="E31" s="17">
        <v>-2573</v>
      </c>
      <c r="F31" s="17">
        <v>0</v>
      </c>
      <c r="G31" s="17">
        <v>0</v>
      </c>
      <c r="H31" s="16">
        <v>0</v>
      </c>
      <c r="I31" s="16">
        <v>0</v>
      </c>
      <c r="J31" s="16">
        <v>-100000</v>
      </c>
      <c r="K31" s="16">
        <v>-96000</v>
      </c>
      <c r="L31" s="16">
        <v>-100000</v>
      </c>
      <c r="M31" s="15"/>
      <c r="N31" s="15"/>
      <c r="O31" s="15"/>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row>
    <row r="32" spans="2:51" x14ac:dyDescent="0.2">
      <c r="B32" s="299" t="s">
        <v>272</v>
      </c>
      <c r="C32" s="299"/>
      <c r="D32" s="299"/>
      <c r="E32" s="166">
        <f>SUM(E33:E40)</f>
        <v>1237267.2000000002</v>
      </c>
      <c r="F32" s="166">
        <f t="shared" ref="F32:L32" si="5">SUM(F33:F40)</f>
        <v>1856674.6600000001</v>
      </c>
      <c r="G32" s="166">
        <f t="shared" si="5"/>
        <v>1951033.25</v>
      </c>
      <c r="H32" s="166">
        <f t="shared" si="5"/>
        <v>2425822.3899999997</v>
      </c>
      <c r="I32" s="166">
        <f t="shared" si="5"/>
        <v>2230004.59</v>
      </c>
      <c r="J32" s="166">
        <f t="shared" si="5"/>
        <v>2368327</v>
      </c>
      <c r="K32" s="166">
        <f t="shared" si="5"/>
        <v>2368327</v>
      </c>
      <c r="L32" s="166">
        <f t="shared" si="5"/>
        <v>2713996</v>
      </c>
    </row>
    <row r="33" spans="2:12" x14ac:dyDescent="0.2">
      <c r="B33" s="216"/>
      <c r="C33" s="216"/>
      <c r="D33" s="207" t="s">
        <v>367</v>
      </c>
      <c r="E33" s="162">
        <v>110964</v>
      </c>
      <c r="F33" s="162">
        <v>0</v>
      </c>
      <c r="G33" s="162">
        <v>0</v>
      </c>
      <c r="H33" s="162">
        <v>0</v>
      </c>
      <c r="I33" s="162">
        <v>0</v>
      </c>
      <c r="J33" s="162">
        <v>0</v>
      </c>
      <c r="K33" s="162">
        <v>0</v>
      </c>
      <c r="L33" s="162">
        <v>0</v>
      </c>
    </row>
    <row r="34" spans="2:12" x14ac:dyDescent="0.2">
      <c r="B34" s="207"/>
      <c r="C34" s="207"/>
      <c r="D34" s="72" t="s">
        <v>318</v>
      </c>
      <c r="E34" s="17">
        <v>544062</v>
      </c>
      <c r="F34" s="17">
        <v>195761.69</v>
      </c>
      <c r="G34" s="17">
        <v>268591.42</v>
      </c>
      <c r="H34" s="16">
        <v>233694.95</v>
      </c>
      <c r="I34" s="16">
        <v>249345.63</v>
      </c>
      <c r="J34" s="16">
        <v>280327</v>
      </c>
      <c r="K34" s="16">
        <v>280327</v>
      </c>
      <c r="L34" s="16">
        <v>309989</v>
      </c>
    </row>
    <row r="35" spans="2:12" x14ac:dyDescent="0.2">
      <c r="B35" s="207"/>
      <c r="C35" s="207"/>
      <c r="D35" s="72" t="s">
        <v>513</v>
      </c>
      <c r="E35" s="17">
        <v>79757.2</v>
      </c>
      <c r="F35" s="17">
        <v>147584</v>
      </c>
      <c r="G35" s="17">
        <v>157219.28</v>
      </c>
      <c r="H35" s="16">
        <v>164425.60999999999</v>
      </c>
      <c r="I35" s="16">
        <v>165505.42000000001</v>
      </c>
      <c r="J35" s="16">
        <v>180000</v>
      </c>
      <c r="K35" s="16">
        <v>180000</v>
      </c>
      <c r="L35" s="16">
        <v>185950</v>
      </c>
    </row>
    <row r="36" spans="2:12" x14ac:dyDescent="0.2">
      <c r="B36" s="207"/>
      <c r="C36" s="207"/>
      <c r="D36" s="72" t="s">
        <v>514</v>
      </c>
      <c r="E36" s="17">
        <v>1026247</v>
      </c>
      <c r="F36" s="17">
        <v>290400.28999999998</v>
      </c>
      <c r="G36" s="17">
        <v>97894.73</v>
      </c>
      <c r="H36" s="16">
        <v>448552.61</v>
      </c>
      <c r="I36" s="16">
        <v>156899.21</v>
      </c>
      <c r="J36" s="16">
        <v>310000</v>
      </c>
      <c r="K36" s="16">
        <v>310000</v>
      </c>
      <c r="L36" s="16">
        <v>420000</v>
      </c>
    </row>
    <row r="37" spans="2:12" x14ac:dyDescent="0.2">
      <c r="B37" s="207"/>
      <c r="C37" s="207"/>
      <c r="D37" s="72" t="s">
        <v>515</v>
      </c>
      <c r="E37" s="17">
        <v>704949</v>
      </c>
      <c r="F37" s="17">
        <v>697928.68</v>
      </c>
      <c r="G37" s="17">
        <v>902327.82</v>
      </c>
      <c r="H37" s="16">
        <v>1054149.22</v>
      </c>
      <c r="I37" s="16">
        <v>1133254.33</v>
      </c>
      <c r="J37" s="16">
        <v>1052250</v>
      </c>
      <c r="K37" s="16">
        <v>1052250</v>
      </c>
      <c r="L37" s="16">
        <v>1257307</v>
      </c>
    </row>
    <row r="38" spans="2:12" x14ac:dyDescent="0.2">
      <c r="B38" s="207"/>
      <c r="C38" s="207"/>
      <c r="D38" s="72" t="s">
        <v>369</v>
      </c>
      <c r="E38" s="17">
        <v>-1753712</v>
      </c>
      <c r="F38" s="17">
        <v>0</v>
      </c>
      <c r="G38" s="17">
        <v>0</v>
      </c>
      <c r="H38" s="16">
        <v>0</v>
      </c>
      <c r="I38" s="16">
        <v>0</v>
      </c>
      <c r="J38" s="16">
        <v>0</v>
      </c>
      <c r="K38" s="16">
        <v>0</v>
      </c>
      <c r="L38" s="16">
        <v>0</v>
      </c>
    </row>
    <row r="39" spans="2:12" x14ac:dyDescent="0.2">
      <c r="B39" s="207"/>
      <c r="C39" s="207"/>
      <c r="D39" s="72" t="s">
        <v>516</v>
      </c>
      <c r="E39" s="17">
        <v>0</v>
      </c>
      <c r="F39" s="17">
        <v>0</v>
      </c>
      <c r="G39" s="17">
        <v>0</v>
      </c>
      <c r="H39" s="16">
        <v>0</v>
      </c>
      <c r="I39" s="16">
        <v>0</v>
      </c>
      <c r="J39" s="16">
        <v>5000</v>
      </c>
      <c r="K39" s="16">
        <v>5000</v>
      </c>
      <c r="L39" s="16">
        <v>0</v>
      </c>
    </row>
    <row r="40" spans="2:12" x14ac:dyDescent="0.2">
      <c r="B40" s="207"/>
      <c r="C40" s="207"/>
      <c r="D40" s="19" t="s">
        <v>370</v>
      </c>
      <c r="E40" s="17">
        <v>525000</v>
      </c>
      <c r="F40" s="17">
        <v>525000</v>
      </c>
      <c r="G40" s="17">
        <v>525000</v>
      </c>
      <c r="H40" s="17">
        <v>525000</v>
      </c>
      <c r="I40" s="17">
        <v>525000</v>
      </c>
      <c r="J40" s="16">
        <v>540750</v>
      </c>
      <c r="K40" s="16">
        <v>540750</v>
      </c>
      <c r="L40" s="16">
        <v>540750</v>
      </c>
    </row>
    <row r="41" spans="2:12" x14ac:dyDescent="0.2">
      <c r="B41" s="299" t="s">
        <v>371</v>
      </c>
      <c r="C41" s="299"/>
      <c r="D41" s="299"/>
      <c r="E41" s="166">
        <f>SUM(E42:E43)</f>
        <v>179577</v>
      </c>
      <c r="F41" s="166">
        <f t="shared" ref="F41:L41" si="6">SUM(F42:F43)</f>
        <v>1657427</v>
      </c>
      <c r="G41" s="166">
        <f t="shared" si="6"/>
        <v>660497</v>
      </c>
      <c r="H41" s="166">
        <f t="shared" si="6"/>
        <v>2149914</v>
      </c>
      <c r="I41" s="166">
        <f t="shared" si="6"/>
        <v>1183794</v>
      </c>
      <c r="J41" s="166">
        <f t="shared" si="6"/>
        <v>849266</v>
      </c>
      <c r="K41" s="166">
        <f t="shared" si="6"/>
        <v>849266</v>
      </c>
      <c r="L41" s="166">
        <f t="shared" si="6"/>
        <v>940875</v>
      </c>
    </row>
    <row r="42" spans="2:12" x14ac:dyDescent="0.2">
      <c r="B42" s="207"/>
      <c r="C42" s="207"/>
      <c r="D42" s="19" t="s">
        <v>339</v>
      </c>
      <c r="E42" s="17">
        <v>179577</v>
      </c>
      <c r="F42" s="17">
        <v>663427</v>
      </c>
      <c r="G42" s="17">
        <v>660497</v>
      </c>
      <c r="H42" s="17">
        <v>631774</v>
      </c>
      <c r="I42" s="17">
        <v>533794</v>
      </c>
      <c r="J42" s="16">
        <v>269266</v>
      </c>
      <c r="K42" s="16">
        <v>269266</v>
      </c>
      <c r="L42" s="16">
        <v>267875</v>
      </c>
    </row>
    <row r="43" spans="2:12" x14ac:dyDescent="0.2">
      <c r="B43" s="207"/>
      <c r="C43" s="207"/>
      <c r="D43" s="19" t="s">
        <v>372</v>
      </c>
      <c r="E43" s="17">
        <v>0</v>
      </c>
      <c r="F43" s="17">
        <v>994000</v>
      </c>
      <c r="G43" s="17">
        <v>0</v>
      </c>
      <c r="H43" s="17">
        <v>1518140</v>
      </c>
      <c r="I43" s="17">
        <v>650000</v>
      </c>
      <c r="J43" s="16">
        <v>580000</v>
      </c>
      <c r="K43" s="16">
        <v>580000</v>
      </c>
      <c r="L43" s="16">
        <v>673000</v>
      </c>
    </row>
  </sheetData>
  <mergeCells count="12">
    <mergeCell ref="B41:D41"/>
    <mergeCell ref="B32:D32"/>
    <mergeCell ref="A1:D1"/>
    <mergeCell ref="A2:D2"/>
    <mergeCell ref="A7:D7"/>
    <mergeCell ref="B3:D3"/>
    <mergeCell ref="B4:D4"/>
    <mergeCell ref="B5:D5"/>
    <mergeCell ref="B6:D6"/>
    <mergeCell ref="B8:D8"/>
    <mergeCell ref="C9:D9"/>
    <mergeCell ref="C20:D20"/>
  </mergeCells>
  <conditionalFormatting sqref="E1:L1">
    <cfRule type="cellIs" dxfId="9" priority="3" operator="lessThan">
      <formula>0</formula>
    </cfRule>
  </conditionalFormatting>
  <conditionalFormatting sqref="H3:L6 H10:L19 H21:L31">
    <cfRule type="cellIs" dxfId="8" priority="4" operator="lessThan">
      <formula>0</formula>
    </cfRule>
  </conditionalFormatting>
  <conditionalFormatting sqref="H34:L39 J40:L40">
    <cfRule type="cellIs" dxfId="7" priority="2" operator="lessThan">
      <formula>0</formula>
    </cfRule>
  </conditionalFormatting>
  <conditionalFormatting sqref="J42:L43">
    <cfRule type="cellIs" dxfId="6"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591A-5DA2-4F64-AAFF-DA2765541BC1}">
  <dimension ref="A1:K37"/>
  <sheetViews>
    <sheetView zoomScale="90" zoomScaleNormal="90" workbookViewId="0">
      <pane ySplit="1" topLeftCell="A2" activePane="bottomLeft" state="frozen"/>
      <selection pane="bottomLeft" sqref="A1:XFD1048576"/>
    </sheetView>
  </sheetViews>
  <sheetFormatPr defaultColWidth="9.33203125" defaultRowHeight="12.75" x14ac:dyDescent="0.2"/>
  <cols>
    <col min="1" max="2" width="5" style="13" customWidth="1"/>
    <col min="3" max="3" width="33.83203125" style="13" bestFit="1" customWidth="1"/>
    <col min="4" max="6" width="17" style="13" customWidth="1"/>
    <col min="7" max="11" width="17" style="32" customWidth="1"/>
    <col min="12" max="16384" width="9.33203125" style="13"/>
  </cols>
  <sheetData>
    <row r="1" spans="1:11" ht="25.5" x14ac:dyDescent="0.2">
      <c r="A1" s="312" t="s">
        <v>382</v>
      </c>
      <c r="B1" s="312"/>
      <c r="C1" s="312"/>
      <c r="D1" s="28" t="s">
        <v>1</v>
      </c>
      <c r="E1" s="28" t="s">
        <v>2</v>
      </c>
      <c r="F1" s="28" t="s">
        <v>3</v>
      </c>
      <c r="G1" s="28" t="s">
        <v>4</v>
      </c>
      <c r="H1" s="28" t="s">
        <v>5</v>
      </c>
      <c r="I1" s="28" t="s">
        <v>6</v>
      </c>
      <c r="J1" s="28" t="s">
        <v>7</v>
      </c>
      <c r="K1" s="28" t="s">
        <v>8</v>
      </c>
    </row>
    <row r="2" spans="1:11" x14ac:dyDescent="0.2">
      <c r="A2" s="313" t="s">
        <v>9</v>
      </c>
      <c r="B2" s="313"/>
      <c r="C2" s="313"/>
      <c r="D2" s="7">
        <f>SUM(D3:D8)</f>
        <v>4849</v>
      </c>
      <c r="E2" s="7">
        <f t="shared" ref="E2:K2" si="0">SUM(E3:E8)</f>
        <v>6700</v>
      </c>
      <c r="F2" s="7">
        <f t="shared" si="0"/>
        <v>6700</v>
      </c>
      <c r="G2" s="7">
        <f t="shared" si="0"/>
        <v>13941</v>
      </c>
      <c r="H2" s="7">
        <f t="shared" si="0"/>
        <v>0</v>
      </c>
      <c r="I2" s="7">
        <f t="shared" si="0"/>
        <v>18000</v>
      </c>
      <c r="J2" s="7">
        <f t="shared" si="0"/>
        <v>14935</v>
      </c>
      <c r="K2" s="7">
        <f t="shared" si="0"/>
        <v>18000</v>
      </c>
    </row>
    <row r="3" spans="1:11" x14ac:dyDescent="0.2">
      <c r="B3" s="314" t="s">
        <v>383</v>
      </c>
      <c r="C3" s="314"/>
      <c r="D3" s="104">
        <v>65</v>
      </c>
      <c r="E3" s="104">
        <v>500</v>
      </c>
      <c r="F3" s="104">
        <v>500</v>
      </c>
      <c r="G3" s="105">
        <v>117</v>
      </c>
      <c r="H3" s="105"/>
      <c r="I3" s="105">
        <v>1000</v>
      </c>
      <c r="J3" s="105">
        <v>1000</v>
      </c>
      <c r="K3" s="106">
        <v>1000</v>
      </c>
    </row>
    <row r="4" spans="1:11" x14ac:dyDescent="0.2">
      <c r="B4" s="248" t="s">
        <v>384</v>
      </c>
      <c r="C4" s="248"/>
      <c r="D4" s="50">
        <v>0</v>
      </c>
      <c r="E4" s="50">
        <v>0</v>
      </c>
      <c r="F4" s="50">
        <v>0</v>
      </c>
      <c r="G4" s="107">
        <v>0</v>
      </c>
      <c r="H4" s="107"/>
      <c r="I4" s="107">
        <v>0</v>
      </c>
      <c r="J4" s="107">
        <v>0</v>
      </c>
      <c r="K4" s="108">
        <v>0</v>
      </c>
    </row>
    <row r="5" spans="1:11" x14ac:dyDescent="0.2">
      <c r="B5" s="248" t="s">
        <v>385</v>
      </c>
      <c r="C5" s="248"/>
      <c r="D5" s="50">
        <v>1200</v>
      </c>
      <c r="E5" s="50">
        <v>1200</v>
      </c>
      <c r="F5" s="50">
        <v>1200</v>
      </c>
      <c r="G5" s="107">
        <v>1200</v>
      </c>
      <c r="H5" s="107"/>
      <c r="I5" s="107">
        <v>1200</v>
      </c>
      <c r="J5" s="107">
        <v>1200</v>
      </c>
      <c r="K5" s="108">
        <v>1200</v>
      </c>
    </row>
    <row r="6" spans="1:11" x14ac:dyDescent="0.2">
      <c r="B6" s="248" t="s">
        <v>386</v>
      </c>
      <c r="C6" s="248"/>
      <c r="D6" s="50">
        <v>1739</v>
      </c>
      <c r="E6" s="50">
        <v>2500</v>
      </c>
      <c r="F6" s="50">
        <v>2500</v>
      </c>
      <c r="G6" s="107">
        <v>2750</v>
      </c>
      <c r="H6" s="107"/>
      <c r="I6" s="107">
        <v>3300</v>
      </c>
      <c r="J6" s="107">
        <v>3300</v>
      </c>
      <c r="K6" s="108">
        <v>3300</v>
      </c>
    </row>
    <row r="7" spans="1:11" x14ac:dyDescent="0.2">
      <c r="B7" s="248" t="s">
        <v>387</v>
      </c>
      <c r="C7" s="248"/>
      <c r="D7" s="50">
        <v>0</v>
      </c>
      <c r="E7" s="50">
        <v>0</v>
      </c>
      <c r="F7" s="50">
        <v>0</v>
      </c>
      <c r="G7" s="107">
        <v>0</v>
      </c>
      <c r="H7" s="107"/>
      <c r="I7" s="107">
        <v>0</v>
      </c>
      <c r="J7" s="107">
        <v>0</v>
      </c>
      <c r="K7" s="108">
        <v>0</v>
      </c>
    </row>
    <row r="8" spans="1:11" x14ac:dyDescent="0.2">
      <c r="B8" s="315" t="s">
        <v>388</v>
      </c>
      <c r="C8" s="315"/>
      <c r="D8" s="109">
        <v>1845</v>
      </c>
      <c r="E8" s="109">
        <v>2500</v>
      </c>
      <c r="F8" s="109">
        <v>2500</v>
      </c>
      <c r="G8" s="110">
        <v>9874</v>
      </c>
      <c r="H8" s="110"/>
      <c r="I8" s="110">
        <v>12500</v>
      </c>
      <c r="J8" s="110">
        <v>9435</v>
      </c>
      <c r="K8" s="111">
        <v>12500</v>
      </c>
    </row>
    <row r="9" spans="1:11" x14ac:dyDescent="0.2">
      <c r="A9" s="316" t="s">
        <v>161</v>
      </c>
      <c r="B9" s="316"/>
      <c r="C9" s="316"/>
      <c r="D9" s="10">
        <f>D10+D17+D18+D25+D29+D30</f>
        <v>95300</v>
      </c>
      <c r="E9" s="10">
        <f t="shared" ref="E9:J9" si="1">E10+E17+E18+E25+E29+E30</f>
        <v>100450</v>
      </c>
      <c r="F9" s="10">
        <f t="shared" si="1"/>
        <v>99950</v>
      </c>
      <c r="G9" s="10">
        <f t="shared" si="1"/>
        <v>121264</v>
      </c>
      <c r="H9" s="10">
        <f t="shared" si="1"/>
        <v>127770</v>
      </c>
      <c r="I9" s="10">
        <f t="shared" si="1"/>
        <v>165140</v>
      </c>
      <c r="J9" s="10">
        <f t="shared" si="1"/>
        <v>158008</v>
      </c>
      <c r="K9" s="10">
        <f>K10+K17+K18+K25+K29+K30+K16</f>
        <v>194567</v>
      </c>
    </row>
    <row r="10" spans="1:11" x14ac:dyDescent="0.2">
      <c r="A10" s="112"/>
      <c r="B10" s="317" t="s">
        <v>389</v>
      </c>
      <c r="C10" s="317"/>
      <c r="D10" s="11">
        <f>SUM(D11:D15)</f>
        <v>16586</v>
      </c>
      <c r="E10" s="11">
        <f t="shared" ref="E10:K10" si="2">SUM(E11:E15)</f>
        <v>14400</v>
      </c>
      <c r="F10" s="11">
        <f>SUM(F11:F15)</f>
        <v>15175</v>
      </c>
      <c r="G10" s="11">
        <f t="shared" si="2"/>
        <v>20993</v>
      </c>
      <c r="H10" s="11">
        <v>21976</v>
      </c>
      <c r="I10" s="11">
        <f t="shared" si="2"/>
        <v>34201</v>
      </c>
      <c r="J10" s="11">
        <f t="shared" si="2"/>
        <v>34062</v>
      </c>
      <c r="K10" s="11">
        <f t="shared" si="2"/>
        <v>38641</v>
      </c>
    </row>
    <row r="11" spans="1:11" s="29" customFormat="1" x14ac:dyDescent="0.2">
      <c r="B11" s="47"/>
      <c r="C11" s="144" t="s">
        <v>390</v>
      </c>
      <c r="D11" s="49">
        <v>6067</v>
      </c>
      <c r="E11" s="49">
        <v>5800</v>
      </c>
      <c r="F11" s="49">
        <v>6000</v>
      </c>
      <c r="G11" s="41">
        <v>10230</v>
      </c>
      <c r="H11" s="41"/>
      <c r="I11" s="41">
        <v>22480</v>
      </c>
      <c r="J11" s="41">
        <v>22480</v>
      </c>
      <c r="K11" s="41">
        <v>25632</v>
      </c>
    </row>
    <row r="12" spans="1:11" s="29" customFormat="1" x14ac:dyDescent="0.2">
      <c r="B12" s="47"/>
      <c r="C12" s="18" t="s">
        <v>391</v>
      </c>
      <c r="D12" s="49">
        <v>6357</v>
      </c>
      <c r="E12" s="49">
        <v>5500</v>
      </c>
      <c r="F12" s="49">
        <v>6000</v>
      </c>
      <c r="G12" s="41">
        <v>6609</v>
      </c>
      <c r="H12" s="41"/>
      <c r="I12" s="41">
        <v>7170</v>
      </c>
      <c r="J12" s="41">
        <v>7404</v>
      </c>
      <c r="K12" s="41">
        <v>8437</v>
      </c>
    </row>
    <row r="13" spans="1:11" s="29" customFormat="1" x14ac:dyDescent="0.2">
      <c r="B13" s="47"/>
      <c r="C13" s="18" t="s">
        <v>392</v>
      </c>
      <c r="D13" s="49">
        <v>970</v>
      </c>
      <c r="E13" s="49">
        <v>1000</v>
      </c>
      <c r="F13" s="49">
        <v>900</v>
      </c>
      <c r="G13" s="41">
        <v>775</v>
      </c>
      <c r="H13" s="41"/>
      <c r="I13" s="41">
        <v>1100</v>
      </c>
      <c r="J13" s="41">
        <v>700</v>
      </c>
      <c r="K13" s="41">
        <v>1000</v>
      </c>
    </row>
    <row r="14" spans="1:11" s="29" customFormat="1" x14ac:dyDescent="0.2">
      <c r="B14" s="47"/>
      <c r="C14" s="18" t="s">
        <v>393</v>
      </c>
      <c r="D14" s="49">
        <v>9</v>
      </c>
      <c r="E14" s="49">
        <v>0</v>
      </c>
      <c r="F14" s="49">
        <v>0</v>
      </c>
      <c r="G14" s="41">
        <v>0</v>
      </c>
      <c r="H14" s="41"/>
      <c r="I14" s="41">
        <v>0</v>
      </c>
      <c r="J14" s="41">
        <v>0</v>
      </c>
      <c r="K14" s="41">
        <v>0</v>
      </c>
    </row>
    <row r="15" spans="1:11" s="29" customFormat="1" x14ac:dyDescent="0.2">
      <c r="B15" s="47"/>
      <c r="C15" s="18" t="s">
        <v>394</v>
      </c>
      <c r="D15" s="49">
        <v>3183</v>
      </c>
      <c r="E15" s="49">
        <v>2100</v>
      </c>
      <c r="F15" s="49">
        <v>2275</v>
      </c>
      <c r="G15" s="41">
        <v>3379</v>
      </c>
      <c r="H15" s="41"/>
      <c r="I15" s="41">
        <v>3451</v>
      </c>
      <c r="J15" s="41">
        <v>3478</v>
      </c>
      <c r="K15" s="41">
        <v>3572</v>
      </c>
    </row>
    <row r="16" spans="1:11" s="29" customFormat="1" x14ac:dyDescent="0.2">
      <c r="B16" s="308" t="s">
        <v>395</v>
      </c>
      <c r="C16" s="308"/>
      <c r="D16" s="40">
        <v>0</v>
      </c>
      <c r="E16" s="40">
        <v>0</v>
      </c>
      <c r="F16" s="40">
        <v>0</v>
      </c>
      <c r="G16" s="176">
        <v>0</v>
      </c>
      <c r="H16" s="176">
        <v>0</v>
      </c>
      <c r="I16" s="176">
        <v>0</v>
      </c>
      <c r="J16" s="176">
        <v>0</v>
      </c>
      <c r="K16" s="176">
        <v>18600</v>
      </c>
    </row>
    <row r="17" spans="1:11" x14ac:dyDescent="0.2">
      <c r="B17" s="308" t="s">
        <v>396</v>
      </c>
      <c r="C17" s="308"/>
      <c r="D17" s="12">
        <v>535</v>
      </c>
      <c r="E17" s="12">
        <v>750</v>
      </c>
      <c r="F17" s="12">
        <v>750</v>
      </c>
      <c r="G17" s="43">
        <v>389</v>
      </c>
      <c r="H17" s="43">
        <v>500</v>
      </c>
      <c r="I17" s="43">
        <v>690</v>
      </c>
      <c r="J17" s="43">
        <v>1700</v>
      </c>
      <c r="K17" s="113">
        <v>3379</v>
      </c>
    </row>
    <row r="18" spans="1:11" x14ac:dyDescent="0.2">
      <c r="B18" s="308" t="s">
        <v>397</v>
      </c>
      <c r="C18" s="308"/>
      <c r="D18" s="12">
        <f>SUM(D19:D24)</f>
        <v>11443</v>
      </c>
      <c r="E18" s="12">
        <f t="shared" ref="E18:K18" si="3">SUM(E19:E24)</f>
        <v>12930</v>
      </c>
      <c r="F18" s="12">
        <f>SUM(F19:F24)</f>
        <v>11930</v>
      </c>
      <c r="G18" s="12">
        <f t="shared" si="3"/>
        <v>26513</v>
      </c>
      <c r="H18" s="12">
        <v>7479</v>
      </c>
      <c r="I18" s="12">
        <f t="shared" si="3"/>
        <v>30779</v>
      </c>
      <c r="J18" s="12">
        <f t="shared" si="3"/>
        <v>24870</v>
      </c>
      <c r="K18" s="12">
        <f t="shared" si="3"/>
        <v>31200</v>
      </c>
    </row>
    <row r="19" spans="1:11" s="29" customFormat="1" x14ac:dyDescent="0.2">
      <c r="B19" s="18"/>
      <c r="C19" s="144" t="s">
        <v>398</v>
      </c>
      <c r="D19" s="49">
        <v>3551</v>
      </c>
      <c r="E19" s="49">
        <v>3630</v>
      </c>
      <c r="F19" s="49">
        <v>3630</v>
      </c>
      <c r="G19" s="41">
        <v>1989</v>
      </c>
      <c r="H19" s="41"/>
      <c r="I19" s="41">
        <v>2577</v>
      </c>
      <c r="J19" s="41">
        <v>3600</v>
      </c>
      <c r="K19" s="41">
        <v>3500</v>
      </c>
    </row>
    <row r="20" spans="1:11" s="29" customFormat="1" x14ac:dyDescent="0.2">
      <c r="B20" s="18"/>
      <c r="C20" s="18" t="s">
        <v>194</v>
      </c>
      <c r="D20" s="49">
        <v>0</v>
      </c>
      <c r="E20" s="49">
        <v>0</v>
      </c>
      <c r="F20" s="49">
        <v>0</v>
      </c>
      <c r="G20" s="41">
        <v>0</v>
      </c>
      <c r="H20" s="41"/>
      <c r="I20" s="41">
        <v>0</v>
      </c>
      <c r="J20" s="41">
        <v>0</v>
      </c>
      <c r="K20" s="41">
        <v>0</v>
      </c>
    </row>
    <row r="21" spans="1:11" s="29" customFormat="1" x14ac:dyDescent="0.2">
      <c r="B21" s="18"/>
      <c r="C21" s="18" t="s">
        <v>399</v>
      </c>
      <c r="D21" s="49">
        <v>2495</v>
      </c>
      <c r="E21" s="49">
        <v>2500</v>
      </c>
      <c r="F21" s="49">
        <v>2500</v>
      </c>
      <c r="G21" s="41">
        <v>2773</v>
      </c>
      <c r="H21" s="41"/>
      <c r="I21" s="41">
        <v>3082</v>
      </c>
      <c r="J21" s="41">
        <v>3025</v>
      </c>
      <c r="K21" s="41">
        <v>3100</v>
      </c>
    </row>
    <row r="22" spans="1:11" s="29" customFormat="1" x14ac:dyDescent="0.2">
      <c r="B22" s="18"/>
      <c r="C22" s="18" t="s">
        <v>400</v>
      </c>
      <c r="D22" s="49">
        <v>506</v>
      </c>
      <c r="E22" s="49">
        <v>600</v>
      </c>
      <c r="F22" s="49">
        <v>600</v>
      </c>
      <c r="G22" s="41">
        <v>3765</v>
      </c>
      <c r="H22" s="41"/>
      <c r="I22" s="41">
        <v>2000</v>
      </c>
      <c r="J22" s="41">
        <v>1200</v>
      </c>
      <c r="K22" s="41">
        <v>1500</v>
      </c>
    </row>
    <row r="23" spans="1:11" s="29" customFormat="1" x14ac:dyDescent="0.2">
      <c r="B23" s="18"/>
      <c r="C23" s="18" t="s">
        <v>401</v>
      </c>
      <c r="D23" s="49">
        <v>3691</v>
      </c>
      <c r="E23" s="49">
        <v>5000</v>
      </c>
      <c r="F23" s="49">
        <v>4000</v>
      </c>
      <c r="G23" s="41">
        <v>16786</v>
      </c>
      <c r="H23" s="41"/>
      <c r="I23" s="41">
        <v>21920</v>
      </c>
      <c r="J23" s="41">
        <v>15845</v>
      </c>
      <c r="K23" s="41">
        <v>21900</v>
      </c>
    </row>
    <row r="24" spans="1:11" s="29" customFormat="1" x14ac:dyDescent="0.2">
      <c r="B24" s="18"/>
      <c r="C24" s="18" t="s">
        <v>402</v>
      </c>
      <c r="D24" s="49">
        <v>1200</v>
      </c>
      <c r="E24" s="49">
        <v>1200</v>
      </c>
      <c r="F24" s="49">
        <v>1200</v>
      </c>
      <c r="G24" s="41">
        <v>1200</v>
      </c>
      <c r="H24" s="41"/>
      <c r="I24" s="41">
        <v>1200</v>
      </c>
      <c r="J24" s="41">
        <v>1200</v>
      </c>
      <c r="K24" s="41">
        <v>1200</v>
      </c>
    </row>
    <row r="25" spans="1:11" x14ac:dyDescent="0.2">
      <c r="A25" s="112"/>
      <c r="B25" s="308" t="s">
        <v>403</v>
      </c>
      <c r="C25" s="308"/>
      <c r="D25" s="12">
        <f>SUM(D26:D28)</f>
        <v>27059</v>
      </c>
      <c r="E25" s="12">
        <f t="shared" ref="E25:K25" si="4">SUM(E26:E28)</f>
        <v>30440</v>
      </c>
      <c r="F25" s="12">
        <f>SUM(F26:F28)</f>
        <v>29545</v>
      </c>
      <c r="G25" s="12">
        <f t="shared" si="4"/>
        <v>20355</v>
      </c>
      <c r="H25" s="12">
        <v>31630</v>
      </c>
      <c r="I25" s="12">
        <f t="shared" si="4"/>
        <v>29194</v>
      </c>
      <c r="J25" s="12">
        <f t="shared" si="4"/>
        <v>26800</v>
      </c>
      <c r="K25" s="12">
        <f t="shared" si="4"/>
        <v>29059</v>
      </c>
    </row>
    <row r="26" spans="1:11" s="29" customFormat="1" x14ac:dyDescent="0.2">
      <c r="A26" s="145"/>
      <c r="B26" s="146"/>
      <c r="C26" s="144" t="s">
        <v>404</v>
      </c>
      <c r="D26" s="49">
        <v>23798</v>
      </c>
      <c r="E26" s="49">
        <v>23340</v>
      </c>
      <c r="F26" s="49">
        <v>24230</v>
      </c>
      <c r="G26" s="41">
        <v>17781</v>
      </c>
      <c r="H26" s="41"/>
      <c r="I26" s="41">
        <v>20716</v>
      </c>
      <c r="J26" s="41">
        <v>19000</v>
      </c>
      <c r="K26" s="41">
        <v>20716</v>
      </c>
    </row>
    <row r="27" spans="1:11" s="29" customFormat="1" x14ac:dyDescent="0.2">
      <c r="A27" s="145"/>
      <c r="B27" s="146"/>
      <c r="C27" s="18" t="s">
        <v>405</v>
      </c>
      <c r="D27" s="49">
        <v>0</v>
      </c>
      <c r="E27" s="49">
        <v>1500</v>
      </c>
      <c r="F27" s="49">
        <v>800</v>
      </c>
      <c r="G27" s="41">
        <v>0</v>
      </c>
      <c r="H27" s="41"/>
      <c r="I27" s="41">
        <v>600</v>
      </c>
      <c r="J27" s="41">
        <v>300</v>
      </c>
      <c r="K27" s="41">
        <v>600</v>
      </c>
    </row>
    <row r="28" spans="1:11" s="29" customFormat="1" x14ac:dyDescent="0.2">
      <c r="A28" s="145"/>
      <c r="B28" s="146"/>
      <c r="C28" s="18" t="s">
        <v>406</v>
      </c>
      <c r="D28" s="49">
        <v>3261</v>
      </c>
      <c r="E28" s="49">
        <v>5600</v>
      </c>
      <c r="F28" s="49">
        <v>4515</v>
      </c>
      <c r="G28" s="41">
        <v>2574</v>
      </c>
      <c r="H28" s="41"/>
      <c r="I28" s="41">
        <v>7878</v>
      </c>
      <c r="J28" s="41">
        <v>7500</v>
      </c>
      <c r="K28" s="41">
        <v>7743</v>
      </c>
    </row>
    <row r="29" spans="1:11" x14ac:dyDescent="0.2">
      <c r="A29" s="112"/>
      <c r="B29" s="308" t="s">
        <v>407</v>
      </c>
      <c r="C29" s="308"/>
      <c r="D29" s="12">
        <v>0</v>
      </c>
      <c r="E29" s="12">
        <v>0</v>
      </c>
      <c r="F29" s="12">
        <v>0</v>
      </c>
      <c r="G29" s="43">
        <v>0</v>
      </c>
      <c r="H29" s="43">
        <v>0</v>
      </c>
      <c r="I29" s="43">
        <v>0</v>
      </c>
      <c r="J29" s="43">
        <v>0</v>
      </c>
      <c r="K29" s="113">
        <v>0</v>
      </c>
    </row>
    <row r="30" spans="1:11" x14ac:dyDescent="0.2">
      <c r="B30" s="308" t="s">
        <v>408</v>
      </c>
      <c r="C30" s="308"/>
      <c r="D30" s="12">
        <f>SUM(D31:D34)</f>
        <v>39677</v>
      </c>
      <c r="E30" s="12">
        <f t="shared" ref="E30:K30" si="5">SUM(E31:E34)</f>
        <v>41930</v>
      </c>
      <c r="F30" s="12">
        <f>SUM(F31:F34)</f>
        <v>42550</v>
      </c>
      <c r="G30" s="12">
        <f t="shared" si="5"/>
        <v>53014</v>
      </c>
      <c r="H30" s="12">
        <v>66185</v>
      </c>
      <c r="I30" s="12">
        <f t="shared" si="5"/>
        <v>70276</v>
      </c>
      <c r="J30" s="12">
        <f t="shared" si="5"/>
        <v>70576</v>
      </c>
      <c r="K30" s="12">
        <f t="shared" si="5"/>
        <v>73688</v>
      </c>
    </row>
    <row r="31" spans="1:11" s="29" customFormat="1" x14ac:dyDescent="0.2">
      <c r="B31" s="147"/>
      <c r="C31" s="144" t="s">
        <v>409</v>
      </c>
      <c r="D31" s="49">
        <v>30171</v>
      </c>
      <c r="E31" s="49">
        <v>31530</v>
      </c>
      <c r="F31" s="49">
        <v>31650</v>
      </c>
      <c r="G31" s="41">
        <v>40052</v>
      </c>
      <c r="H31" s="41"/>
      <c r="I31" s="41">
        <v>53274</v>
      </c>
      <c r="J31" s="41">
        <v>53200</v>
      </c>
      <c r="K31" s="41">
        <v>55668</v>
      </c>
    </row>
    <row r="32" spans="1:11" s="29" customFormat="1" x14ac:dyDescent="0.2">
      <c r="B32" s="147"/>
      <c r="C32" s="18" t="s">
        <v>410</v>
      </c>
      <c r="D32" s="49">
        <v>5003</v>
      </c>
      <c r="E32" s="49">
        <v>5800</v>
      </c>
      <c r="F32" s="49">
        <v>5600</v>
      </c>
      <c r="G32" s="41">
        <v>5420</v>
      </c>
      <c r="H32" s="41"/>
      <c r="I32" s="41">
        <v>8702</v>
      </c>
      <c r="J32" s="41">
        <v>8702</v>
      </c>
      <c r="K32" s="41">
        <v>8797</v>
      </c>
    </row>
    <row r="33" spans="1:11" s="29" customFormat="1" x14ac:dyDescent="0.2">
      <c r="B33" s="147"/>
      <c r="C33" s="18" t="s">
        <v>411</v>
      </c>
      <c r="D33" s="49">
        <v>2498</v>
      </c>
      <c r="E33" s="49">
        <v>3700</v>
      </c>
      <c r="F33" s="49">
        <v>4400</v>
      </c>
      <c r="G33" s="41">
        <v>6386</v>
      </c>
      <c r="H33" s="41"/>
      <c r="I33" s="41">
        <v>7300</v>
      </c>
      <c r="J33" s="41">
        <v>7574</v>
      </c>
      <c r="K33" s="41">
        <v>8123</v>
      </c>
    </row>
    <row r="34" spans="1:11" s="29" customFormat="1" x14ac:dyDescent="0.2">
      <c r="B34" s="147"/>
      <c r="C34" s="18" t="s">
        <v>412</v>
      </c>
      <c r="D34" s="49">
        <v>2005</v>
      </c>
      <c r="E34" s="49">
        <v>900</v>
      </c>
      <c r="F34" s="49">
        <v>900</v>
      </c>
      <c r="G34" s="41">
        <v>1156</v>
      </c>
      <c r="H34" s="41"/>
      <c r="I34" s="41">
        <v>1000</v>
      </c>
      <c r="J34" s="41">
        <v>1100</v>
      </c>
      <c r="K34" s="41">
        <v>1100</v>
      </c>
    </row>
    <row r="35" spans="1:11" x14ac:dyDescent="0.2">
      <c r="G35" s="114"/>
      <c r="H35" s="114"/>
      <c r="I35" s="114"/>
      <c r="J35" s="114"/>
      <c r="K35" s="114"/>
    </row>
    <row r="36" spans="1:11" x14ac:dyDescent="0.2">
      <c r="A36" s="309" t="s">
        <v>413</v>
      </c>
      <c r="B36" s="309"/>
      <c r="C36" s="309"/>
      <c r="D36" s="115">
        <f>D37</f>
        <v>93750</v>
      </c>
      <c r="E36" s="115">
        <f t="shared" ref="E36:K36" si="6">E37</f>
        <v>93750</v>
      </c>
      <c r="F36" s="115">
        <f t="shared" si="6"/>
        <v>93750</v>
      </c>
      <c r="G36" s="115">
        <f t="shared" si="6"/>
        <v>97257</v>
      </c>
      <c r="H36" s="115">
        <f t="shared" si="6"/>
        <v>132457</v>
      </c>
      <c r="I36" s="115">
        <f t="shared" si="6"/>
        <v>147140</v>
      </c>
      <c r="J36" s="115">
        <f t="shared" si="6"/>
        <v>147140</v>
      </c>
      <c r="K36" s="115">
        <f t="shared" si="6"/>
        <v>176567</v>
      </c>
    </row>
    <row r="37" spans="1:11" x14ac:dyDescent="0.2">
      <c r="A37" s="6"/>
      <c r="B37" s="310" t="s">
        <v>414</v>
      </c>
      <c r="C37" s="311"/>
      <c r="D37" s="116">
        <v>93750</v>
      </c>
      <c r="E37" s="116">
        <v>93750</v>
      </c>
      <c r="F37" s="116">
        <v>93750</v>
      </c>
      <c r="G37" s="116">
        <v>97257</v>
      </c>
      <c r="H37" s="116">
        <v>132457</v>
      </c>
      <c r="I37" s="116">
        <v>147140</v>
      </c>
      <c r="J37" s="116">
        <v>147140</v>
      </c>
      <c r="K37" s="116">
        <v>176567</v>
      </c>
    </row>
  </sheetData>
  <mergeCells count="18">
    <mergeCell ref="B18:C18"/>
    <mergeCell ref="A1:C1"/>
    <mergeCell ref="A2:C2"/>
    <mergeCell ref="B3:C3"/>
    <mergeCell ref="B4:C4"/>
    <mergeCell ref="B5:C5"/>
    <mergeCell ref="B6:C6"/>
    <mergeCell ref="B7:C7"/>
    <mergeCell ref="B8:C8"/>
    <mergeCell ref="A9:C9"/>
    <mergeCell ref="B10:C10"/>
    <mergeCell ref="B17:C17"/>
    <mergeCell ref="B16:C16"/>
    <mergeCell ref="B25:C25"/>
    <mergeCell ref="B29:C29"/>
    <mergeCell ref="B30:C30"/>
    <mergeCell ref="A36:C36"/>
    <mergeCell ref="B37:C37"/>
  </mergeCells>
  <conditionalFormatting sqref="D1:K1">
    <cfRule type="cellIs" dxfId="5" priority="1" operator="lessThan">
      <formula>0</formula>
    </cfRule>
  </conditionalFormatting>
  <conditionalFormatting sqref="G3:J8 G11:K16 G17:J17 G19:K24 G26:K28 G29:J29 G31:K34">
    <cfRule type="cellIs" dxfId="4" priority="2" operator="lessThan">
      <formula>0</formula>
    </cfRule>
  </conditionalFormatting>
  <pageMargins left="0.7" right="0.7" top="0.75" bottom="0.75" header="0.3" footer="0.3"/>
  <ignoredErrors>
    <ignoredError sqref="D10:G10 D25:G25 F18 I10:K10 I25 J25:K2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5085-F754-42F0-B9FF-3AB2B1A86D6F}">
  <dimension ref="A1:EP65"/>
  <sheetViews>
    <sheetView zoomScaleNormal="100" workbookViewId="0">
      <pane ySplit="1" topLeftCell="A8" activePane="bottomLeft" state="frozen"/>
      <selection pane="bottomLeft" sqref="A1:XFD1048576"/>
    </sheetView>
  </sheetViews>
  <sheetFormatPr defaultColWidth="9.33203125" defaultRowHeight="12.75" x14ac:dyDescent="0.2"/>
  <cols>
    <col min="1" max="2" width="5" style="1" customWidth="1"/>
    <col min="3" max="3" width="31.83203125" style="1" bestFit="1" customWidth="1"/>
    <col min="4" max="11" width="17" style="1" customWidth="1"/>
    <col min="12" max="16384" width="9.33203125" style="1"/>
  </cols>
  <sheetData>
    <row r="1" spans="1:146" s="119" customFormat="1" ht="25.5" x14ac:dyDescent="0.2">
      <c r="A1" s="321" t="s">
        <v>415</v>
      </c>
      <c r="B1" s="321"/>
      <c r="C1" s="321"/>
      <c r="D1" s="28" t="s">
        <v>1</v>
      </c>
      <c r="E1" s="178" t="s">
        <v>2</v>
      </c>
      <c r="F1" s="178" t="s">
        <v>3</v>
      </c>
      <c r="G1" s="178" t="s">
        <v>4</v>
      </c>
      <c r="H1" s="28" t="s">
        <v>5</v>
      </c>
      <c r="I1" s="28" t="s">
        <v>6</v>
      </c>
      <c r="J1" s="28" t="s">
        <v>7</v>
      </c>
      <c r="K1" s="28" t="s">
        <v>8</v>
      </c>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c r="DB1" s="117"/>
      <c r="DC1" s="117"/>
      <c r="DD1" s="117"/>
      <c r="DE1" s="117"/>
      <c r="DF1" s="117"/>
      <c r="DG1" s="117"/>
      <c r="DH1" s="117"/>
      <c r="DI1" s="117"/>
      <c r="DJ1" s="117"/>
      <c r="DK1" s="117"/>
      <c r="DL1" s="117"/>
      <c r="DM1" s="117"/>
      <c r="DN1" s="117"/>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row>
    <row r="2" spans="1:146" x14ac:dyDescent="0.2">
      <c r="A2" s="313" t="s">
        <v>9</v>
      </c>
      <c r="B2" s="313"/>
      <c r="C2" s="313"/>
      <c r="D2" s="7">
        <f>SUM(D3:D8)</f>
        <v>387384</v>
      </c>
      <c r="E2" s="7">
        <f t="shared" ref="E2:K2" si="0">SUM(E3:E8)</f>
        <v>0</v>
      </c>
      <c r="F2" s="7">
        <f t="shared" si="0"/>
        <v>0</v>
      </c>
      <c r="G2" s="7">
        <f t="shared" ref="G2" si="1">SUM(G3:G8)</f>
        <v>0</v>
      </c>
      <c r="H2" s="7">
        <f t="shared" si="0"/>
        <v>0</v>
      </c>
      <c r="I2" s="7">
        <f t="shared" si="0"/>
        <v>495765</v>
      </c>
      <c r="J2" s="7">
        <f t="shared" si="0"/>
        <v>563033</v>
      </c>
      <c r="K2" s="7">
        <f t="shared" si="0"/>
        <v>861333</v>
      </c>
    </row>
    <row r="3" spans="1:146" x14ac:dyDescent="0.2">
      <c r="A3" s="120"/>
      <c r="B3" s="314" t="s">
        <v>383</v>
      </c>
      <c r="C3" s="314"/>
      <c r="D3" s="50">
        <v>2880</v>
      </c>
      <c r="E3" s="50"/>
      <c r="F3" s="50"/>
      <c r="G3" s="50"/>
      <c r="H3" s="107"/>
      <c r="I3" s="107">
        <v>11200</v>
      </c>
      <c r="J3" s="108">
        <v>15000</v>
      </c>
      <c r="K3" s="108">
        <v>13590</v>
      </c>
    </row>
    <row r="4" spans="1:146" x14ac:dyDescent="0.2">
      <c r="A4" s="120"/>
      <c r="B4" s="248" t="s">
        <v>416</v>
      </c>
      <c r="C4" s="248"/>
      <c r="D4" s="50">
        <v>13500</v>
      </c>
      <c r="E4" s="50"/>
      <c r="F4" s="50"/>
      <c r="G4" s="50"/>
      <c r="H4" s="107"/>
      <c r="I4" s="107">
        <v>20000</v>
      </c>
      <c r="J4" s="108">
        <v>25223</v>
      </c>
      <c r="K4" s="108">
        <v>26575</v>
      </c>
    </row>
    <row r="5" spans="1:146" x14ac:dyDescent="0.2">
      <c r="A5" s="120"/>
      <c r="B5" s="248" t="s">
        <v>417</v>
      </c>
      <c r="C5" s="248"/>
      <c r="D5" s="50">
        <v>100000</v>
      </c>
      <c r="E5" s="50"/>
      <c r="F5" s="50"/>
      <c r="G5" s="50"/>
      <c r="H5" s="107"/>
      <c r="I5" s="107">
        <v>96000</v>
      </c>
      <c r="J5" s="108">
        <v>117135</v>
      </c>
      <c r="K5" s="108">
        <v>109500</v>
      </c>
    </row>
    <row r="6" spans="1:146" x14ac:dyDescent="0.2">
      <c r="A6" s="120"/>
      <c r="B6" s="248" t="s">
        <v>418</v>
      </c>
      <c r="C6" s="248"/>
      <c r="D6" s="50">
        <v>177204</v>
      </c>
      <c r="E6" s="50"/>
      <c r="F6" s="50"/>
      <c r="G6" s="50"/>
      <c r="H6" s="107"/>
      <c r="I6" s="107">
        <v>182000</v>
      </c>
      <c r="J6" s="108">
        <v>182000</v>
      </c>
      <c r="K6" s="108">
        <v>224500</v>
      </c>
    </row>
    <row r="7" spans="1:146" x14ac:dyDescent="0.2">
      <c r="A7" s="120"/>
      <c r="B7" s="248" t="s">
        <v>386</v>
      </c>
      <c r="C7" s="248"/>
      <c r="D7" s="50">
        <v>24000</v>
      </c>
      <c r="E7" s="50"/>
      <c r="F7" s="50"/>
      <c r="G7" s="50"/>
      <c r="H7" s="107"/>
      <c r="I7" s="107">
        <v>71465</v>
      </c>
      <c r="J7" s="108">
        <v>71000</v>
      </c>
      <c r="K7" s="108">
        <v>315203</v>
      </c>
    </row>
    <row r="8" spans="1:146" x14ac:dyDescent="0.2">
      <c r="A8" s="120"/>
      <c r="B8" s="315" t="s">
        <v>419</v>
      </c>
      <c r="C8" s="315"/>
      <c r="D8" s="50">
        <v>69800</v>
      </c>
      <c r="E8" s="50"/>
      <c r="F8" s="50"/>
      <c r="G8" s="50"/>
      <c r="H8" s="107"/>
      <c r="I8" s="107">
        <v>115100</v>
      </c>
      <c r="J8" s="108">
        <v>152675</v>
      </c>
      <c r="K8" s="108">
        <v>171965</v>
      </c>
    </row>
    <row r="9" spans="1:146" x14ac:dyDescent="0.2">
      <c r="A9" s="322" t="s">
        <v>161</v>
      </c>
      <c r="B9" s="322"/>
      <c r="C9" s="322"/>
      <c r="D9" s="10">
        <f t="shared" ref="D9:H9" si="2">D10+D19+D29+D38+D43+D50+D57+D58+D59+D60</f>
        <v>1372384</v>
      </c>
      <c r="E9" s="10">
        <f t="shared" si="2"/>
        <v>959960</v>
      </c>
      <c r="F9" s="10">
        <f t="shared" si="2"/>
        <v>1041086</v>
      </c>
      <c r="G9" s="10">
        <f t="shared" si="2"/>
        <v>1003912</v>
      </c>
      <c r="H9" s="10">
        <f t="shared" si="2"/>
        <v>1150553</v>
      </c>
      <c r="I9" s="10">
        <f>I10+I19+I29+I38+I43+I50+I57+I58+I59+I60</f>
        <v>1694409</v>
      </c>
      <c r="J9" s="10">
        <f t="shared" ref="J9:K9" si="3">J10+J19+J29+J38+J43+J50+J57+J58+J59+J60</f>
        <v>2371425</v>
      </c>
      <c r="K9" s="10">
        <f t="shared" si="3"/>
        <v>2211541</v>
      </c>
    </row>
    <row r="10" spans="1:146" x14ac:dyDescent="0.2">
      <c r="A10" s="13"/>
      <c r="B10" s="323" t="s">
        <v>389</v>
      </c>
      <c r="C10" s="323"/>
      <c r="D10" s="12">
        <f>SUM(D11:D18)</f>
        <v>243171</v>
      </c>
      <c r="E10" s="12">
        <v>236968</v>
      </c>
      <c r="F10" s="12">
        <v>230784</v>
      </c>
      <c r="G10" s="12">
        <v>260934</v>
      </c>
      <c r="H10" s="12">
        <v>171652</v>
      </c>
      <c r="I10" s="12">
        <f t="shared" ref="I10:K10" si="4">SUM(I11:I18)</f>
        <v>184645</v>
      </c>
      <c r="J10" s="12">
        <f t="shared" si="4"/>
        <v>185842</v>
      </c>
      <c r="K10" s="12">
        <f t="shared" si="4"/>
        <v>241398</v>
      </c>
    </row>
    <row r="11" spans="1:146" s="149" customFormat="1" x14ac:dyDescent="0.2">
      <c r="A11" s="29"/>
      <c r="B11" s="18"/>
      <c r="C11" s="18" t="s">
        <v>420</v>
      </c>
      <c r="D11" s="49">
        <v>148000</v>
      </c>
      <c r="E11" s="49"/>
      <c r="F11" s="49"/>
      <c r="G11" s="49"/>
      <c r="H11" s="41"/>
      <c r="I11" s="41">
        <v>124195</v>
      </c>
      <c r="J11" s="41">
        <v>110000</v>
      </c>
      <c r="K11" s="41">
        <v>175859</v>
      </c>
    </row>
    <row r="12" spans="1:146" s="149" customFormat="1" x14ac:dyDescent="0.2">
      <c r="A12" s="29"/>
      <c r="B12" s="18"/>
      <c r="C12" s="18" t="s">
        <v>421</v>
      </c>
      <c r="D12" s="49">
        <v>22000</v>
      </c>
      <c r="E12" s="49"/>
      <c r="F12" s="49"/>
      <c r="G12" s="49"/>
      <c r="H12" s="41"/>
      <c r="I12" s="41">
        <v>22243</v>
      </c>
      <c r="J12" s="41">
        <v>24000</v>
      </c>
      <c r="K12" s="41">
        <v>23831</v>
      </c>
    </row>
    <row r="13" spans="1:146" s="149" customFormat="1" x14ac:dyDescent="0.2">
      <c r="A13" s="29"/>
      <c r="B13" s="18"/>
      <c r="C13" s="18" t="s">
        <v>422</v>
      </c>
      <c r="D13" s="49">
        <v>1000</v>
      </c>
      <c r="E13" s="49"/>
      <c r="F13" s="49"/>
      <c r="G13" s="49"/>
      <c r="H13" s="41"/>
      <c r="I13" s="41">
        <v>1000</v>
      </c>
      <c r="J13" s="41">
        <v>1500</v>
      </c>
      <c r="K13" s="41">
        <v>1200</v>
      </c>
    </row>
    <row r="14" spans="1:146" s="149" customFormat="1" x14ac:dyDescent="0.2">
      <c r="A14" s="29"/>
      <c r="B14" s="18"/>
      <c r="C14" s="18" t="s">
        <v>423</v>
      </c>
      <c r="D14" s="49">
        <v>4444</v>
      </c>
      <c r="E14" s="49"/>
      <c r="F14" s="49"/>
      <c r="G14" s="49"/>
      <c r="H14" s="41"/>
      <c r="I14" s="41">
        <v>6000</v>
      </c>
      <c r="J14" s="41">
        <v>10000</v>
      </c>
      <c r="K14" s="41">
        <v>7000</v>
      </c>
    </row>
    <row r="15" spans="1:146" s="149" customFormat="1" x14ac:dyDescent="0.2">
      <c r="A15" s="29"/>
      <c r="B15" s="18"/>
      <c r="C15" s="18" t="s">
        <v>394</v>
      </c>
      <c r="D15" s="49">
        <v>10585</v>
      </c>
      <c r="E15" s="49"/>
      <c r="F15" s="49"/>
      <c r="G15" s="49"/>
      <c r="H15" s="41"/>
      <c r="I15" s="41">
        <v>1908</v>
      </c>
      <c r="J15" s="41">
        <v>1908</v>
      </c>
      <c r="K15" s="41">
        <v>1682</v>
      </c>
    </row>
    <row r="16" spans="1:146" s="149" customFormat="1" x14ac:dyDescent="0.2">
      <c r="A16" s="29"/>
      <c r="B16" s="18"/>
      <c r="C16" s="18" t="s">
        <v>424</v>
      </c>
      <c r="D16" s="49">
        <v>25524</v>
      </c>
      <c r="E16" s="49"/>
      <c r="F16" s="49"/>
      <c r="G16" s="49"/>
      <c r="H16" s="41"/>
      <c r="I16" s="41">
        <v>7650</v>
      </c>
      <c r="J16" s="41">
        <v>8334</v>
      </c>
      <c r="K16" s="41">
        <v>9326</v>
      </c>
    </row>
    <row r="17" spans="1:11" s="149" customFormat="1" x14ac:dyDescent="0.2">
      <c r="A17" s="29"/>
      <c r="B17" s="18"/>
      <c r="C17" s="18" t="s">
        <v>425</v>
      </c>
      <c r="D17" s="49">
        <v>6400</v>
      </c>
      <c r="E17" s="49"/>
      <c r="F17" s="49"/>
      <c r="G17" s="49"/>
      <c r="H17" s="41"/>
      <c r="I17" s="41">
        <v>11000</v>
      </c>
      <c r="J17" s="41">
        <v>17000</v>
      </c>
      <c r="K17" s="41">
        <v>14000</v>
      </c>
    </row>
    <row r="18" spans="1:11" s="149" customFormat="1" x14ac:dyDescent="0.2">
      <c r="A18" s="29"/>
      <c r="B18" s="18"/>
      <c r="C18" s="18" t="s">
        <v>393</v>
      </c>
      <c r="D18" s="49">
        <v>25218</v>
      </c>
      <c r="E18" s="49"/>
      <c r="F18" s="49"/>
      <c r="G18" s="49"/>
      <c r="H18" s="41"/>
      <c r="I18" s="41">
        <v>10649</v>
      </c>
      <c r="J18" s="41">
        <v>13100</v>
      </c>
      <c r="K18" s="41">
        <v>8500</v>
      </c>
    </row>
    <row r="19" spans="1:11" x14ac:dyDescent="0.2">
      <c r="A19" s="13"/>
      <c r="B19" s="318" t="s">
        <v>396</v>
      </c>
      <c r="C19" s="318"/>
      <c r="D19" s="12">
        <f>SUM(D20:D28)</f>
        <v>229628</v>
      </c>
      <c r="E19" s="12">
        <v>67759</v>
      </c>
      <c r="F19" s="12">
        <f t="shared" ref="F19:K19" si="5">SUM(F20:F28)</f>
        <v>0</v>
      </c>
      <c r="G19" s="12">
        <v>27055</v>
      </c>
      <c r="H19" s="12">
        <v>47232</v>
      </c>
      <c r="I19" s="12">
        <f t="shared" si="5"/>
        <v>277912</v>
      </c>
      <c r="J19" s="12">
        <f t="shared" si="5"/>
        <v>297416</v>
      </c>
      <c r="K19" s="12">
        <f t="shared" si="5"/>
        <v>442117</v>
      </c>
    </row>
    <row r="20" spans="1:11" s="149" customFormat="1" x14ac:dyDescent="0.2">
      <c r="A20" s="29"/>
      <c r="B20" s="150"/>
      <c r="C20" s="18" t="s">
        <v>420</v>
      </c>
      <c r="D20" s="49">
        <v>156428</v>
      </c>
      <c r="E20" s="49"/>
      <c r="F20" s="49"/>
      <c r="G20" s="49"/>
      <c r="H20" s="41"/>
      <c r="I20" s="41">
        <v>223102</v>
      </c>
      <c r="J20" s="41">
        <v>222076</v>
      </c>
      <c r="K20" s="41">
        <v>385849</v>
      </c>
    </row>
    <row r="21" spans="1:11" s="149" customFormat="1" x14ac:dyDescent="0.2">
      <c r="A21" s="29"/>
      <c r="B21" s="150"/>
      <c r="C21" s="18" t="s">
        <v>426</v>
      </c>
      <c r="D21" s="49">
        <v>30000</v>
      </c>
      <c r="E21" s="49"/>
      <c r="F21" s="49"/>
      <c r="G21" s="49"/>
      <c r="H21" s="41"/>
      <c r="I21" s="41">
        <v>28000</v>
      </c>
      <c r="J21" s="41">
        <v>26100</v>
      </c>
      <c r="K21" s="41">
        <v>27200</v>
      </c>
    </row>
    <row r="22" spans="1:11" s="149" customFormat="1" x14ac:dyDescent="0.2">
      <c r="A22" s="29"/>
      <c r="B22" s="150"/>
      <c r="C22" s="18" t="s">
        <v>427</v>
      </c>
      <c r="D22" s="49">
        <v>7000</v>
      </c>
      <c r="E22" s="49"/>
      <c r="F22" s="49"/>
      <c r="G22" s="49"/>
      <c r="H22" s="41"/>
      <c r="I22" s="41">
        <v>3000</v>
      </c>
      <c r="J22" s="41">
        <v>8000</v>
      </c>
      <c r="K22" s="41">
        <v>3600</v>
      </c>
    </row>
    <row r="23" spans="1:11" s="149" customFormat="1" x14ac:dyDescent="0.2">
      <c r="A23" s="29"/>
      <c r="B23" s="150"/>
      <c r="C23" s="18" t="s">
        <v>428</v>
      </c>
      <c r="D23" s="49">
        <v>18000</v>
      </c>
      <c r="E23" s="49"/>
      <c r="F23" s="49"/>
      <c r="G23" s="49"/>
      <c r="H23" s="41"/>
      <c r="I23" s="41">
        <v>0</v>
      </c>
      <c r="J23" s="41">
        <v>0</v>
      </c>
      <c r="K23" s="41">
        <v>0</v>
      </c>
    </row>
    <row r="24" spans="1:11" s="149" customFormat="1" x14ac:dyDescent="0.2">
      <c r="A24" s="29"/>
      <c r="B24" s="150"/>
      <c r="C24" s="18" t="s">
        <v>429</v>
      </c>
      <c r="D24" s="49">
        <v>15000</v>
      </c>
      <c r="E24" s="49"/>
      <c r="F24" s="49"/>
      <c r="G24" s="49"/>
      <c r="H24" s="41"/>
      <c r="I24" s="41">
        <v>0</v>
      </c>
      <c r="J24" s="41">
        <v>20000</v>
      </c>
      <c r="K24" s="41">
        <v>0</v>
      </c>
    </row>
    <row r="25" spans="1:11" s="149" customFormat="1" x14ac:dyDescent="0.2">
      <c r="A25" s="29"/>
      <c r="B25" s="150"/>
      <c r="C25" s="18" t="s">
        <v>430</v>
      </c>
      <c r="D25" s="49">
        <v>800</v>
      </c>
      <c r="E25" s="49"/>
      <c r="F25" s="49"/>
      <c r="G25" s="49"/>
      <c r="H25" s="41"/>
      <c r="I25" s="41">
        <v>0</v>
      </c>
      <c r="J25" s="41">
        <v>0</v>
      </c>
      <c r="K25" s="41">
        <v>0</v>
      </c>
    </row>
    <row r="26" spans="1:11" s="149" customFormat="1" x14ac:dyDescent="0.2">
      <c r="A26" s="29"/>
      <c r="B26" s="150"/>
      <c r="C26" s="18" t="s">
        <v>431</v>
      </c>
      <c r="D26" s="49">
        <v>1400</v>
      </c>
      <c r="E26" s="49"/>
      <c r="F26" s="49"/>
      <c r="G26" s="49"/>
      <c r="H26" s="41"/>
      <c r="I26" s="41">
        <v>0</v>
      </c>
      <c r="J26" s="41">
        <v>0</v>
      </c>
      <c r="K26" s="41">
        <v>0</v>
      </c>
    </row>
    <row r="27" spans="1:11" s="149" customFormat="1" x14ac:dyDescent="0.2">
      <c r="A27" s="29"/>
      <c r="B27" s="150"/>
      <c r="C27" s="18" t="s">
        <v>432</v>
      </c>
      <c r="D27" s="49">
        <v>0</v>
      </c>
      <c r="E27" s="49"/>
      <c r="F27" s="49"/>
      <c r="G27" s="49"/>
      <c r="H27" s="41"/>
      <c r="I27" s="41">
        <v>19500</v>
      </c>
      <c r="J27" s="41">
        <v>16910</v>
      </c>
      <c r="K27" s="41">
        <v>21138</v>
      </c>
    </row>
    <row r="28" spans="1:11" s="149" customFormat="1" x14ac:dyDescent="0.2">
      <c r="A28" s="29"/>
      <c r="B28" s="150"/>
      <c r="C28" s="18" t="s">
        <v>433</v>
      </c>
      <c r="D28" s="49">
        <v>1000</v>
      </c>
      <c r="E28" s="49"/>
      <c r="F28" s="49"/>
      <c r="G28" s="49"/>
      <c r="H28" s="41"/>
      <c r="I28" s="41">
        <v>4310</v>
      </c>
      <c r="J28" s="41">
        <v>4330</v>
      </c>
      <c r="K28" s="41">
        <v>4330</v>
      </c>
    </row>
    <row r="29" spans="1:11" x14ac:dyDescent="0.2">
      <c r="A29" s="13"/>
      <c r="B29" s="318" t="s">
        <v>397</v>
      </c>
      <c r="C29" s="318"/>
      <c r="D29" s="12">
        <f>SUM(D30:D37)</f>
        <v>338632</v>
      </c>
      <c r="E29" s="12">
        <v>296977</v>
      </c>
      <c r="F29" s="12">
        <v>279660</v>
      </c>
      <c r="G29" s="12">
        <v>306663</v>
      </c>
      <c r="H29" s="12">
        <v>330170</v>
      </c>
      <c r="I29" s="12">
        <f t="shared" ref="I29:K29" si="6">SUM(I30:I37)</f>
        <v>342308</v>
      </c>
      <c r="J29" s="12">
        <f t="shared" si="6"/>
        <v>290582</v>
      </c>
      <c r="K29" s="12">
        <f t="shared" si="6"/>
        <v>430397</v>
      </c>
    </row>
    <row r="30" spans="1:11" s="149" customFormat="1" x14ac:dyDescent="0.2">
      <c r="A30" s="29"/>
      <c r="B30" s="150"/>
      <c r="C30" s="18" t="s">
        <v>420</v>
      </c>
      <c r="D30" s="49">
        <v>236100</v>
      </c>
      <c r="E30" s="49"/>
      <c r="F30" s="49"/>
      <c r="G30" s="49"/>
      <c r="H30" s="41"/>
      <c r="I30" s="41">
        <v>233979</v>
      </c>
      <c r="J30" s="41">
        <v>178134</v>
      </c>
      <c r="K30" s="41">
        <v>316426</v>
      </c>
    </row>
    <row r="31" spans="1:11" s="149" customFormat="1" x14ac:dyDescent="0.2">
      <c r="A31" s="29"/>
      <c r="B31" s="150"/>
      <c r="C31" s="18" t="s">
        <v>434</v>
      </c>
      <c r="D31" s="49">
        <v>52000</v>
      </c>
      <c r="E31" s="49"/>
      <c r="F31" s="49"/>
      <c r="G31" s="49"/>
      <c r="H31" s="41"/>
      <c r="I31" s="41">
        <v>34000</v>
      </c>
      <c r="J31" s="41">
        <v>28000</v>
      </c>
      <c r="K31" s="41">
        <v>32000</v>
      </c>
    </row>
    <row r="32" spans="1:11" s="149" customFormat="1" x14ac:dyDescent="0.2">
      <c r="A32" s="29"/>
      <c r="B32" s="150"/>
      <c r="C32" s="18" t="s">
        <v>435</v>
      </c>
      <c r="D32" s="49">
        <v>0</v>
      </c>
      <c r="E32" s="49"/>
      <c r="F32" s="49"/>
      <c r="G32" s="49"/>
      <c r="H32" s="41"/>
      <c r="I32" s="41">
        <v>6500</v>
      </c>
      <c r="J32" s="41">
        <v>6848</v>
      </c>
      <c r="K32" s="41">
        <v>5430</v>
      </c>
    </row>
    <row r="33" spans="1:11" s="149" customFormat="1" x14ac:dyDescent="0.2">
      <c r="A33" s="29"/>
      <c r="B33" s="150"/>
      <c r="C33" s="18" t="s">
        <v>394</v>
      </c>
      <c r="D33" s="49">
        <v>5330</v>
      </c>
      <c r="E33" s="49"/>
      <c r="F33" s="49"/>
      <c r="G33" s="49"/>
      <c r="H33" s="41"/>
      <c r="I33" s="41">
        <v>13050</v>
      </c>
      <c r="J33" s="41">
        <v>13940</v>
      </c>
      <c r="K33" s="41">
        <v>14889</v>
      </c>
    </row>
    <row r="34" spans="1:11" s="149" customFormat="1" x14ac:dyDescent="0.2">
      <c r="A34" s="29"/>
      <c r="B34" s="150"/>
      <c r="C34" s="18" t="s">
        <v>401</v>
      </c>
      <c r="D34" s="49">
        <v>25000</v>
      </c>
      <c r="E34" s="49"/>
      <c r="F34" s="49"/>
      <c r="G34" s="49"/>
      <c r="H34" s="41"/>
      <c r="I34" s="41">
        <v>30000</v>
      </c>
      <c r="J34" s="41">
        <v>34000</v>
      </c>
      <c r="K34" s="41">
        <v>32000</v>
      </c>
    </row>
    <row r="35" spans="1:11" s="149" customFormat="1" x14ac:dyDescent="0.2">
      <c r="A35" s="29"/>
      <c r="B35" s="150"/>
      <c r="C35" s="18" t="s">
        <v>436</v>
      </c>
      <c r="D35" s="49">
        <v>10002</v>
      </c>
      <c r="E35" s="49"/>
      <c r="F35" s="49"/>
      <c r="G35" s="49"/>
      <c r="H35" s="41"/>
      <c r="I35" s="41">
        <v>23679</v>
      </c>
      <c r="J35" s="41">
        <v>28560</v>
      </c>
      <c r="K35" s="41">
        <v>28552</v>
      </c>
    </row>
    <row r="36" spans="1:11" s="149" customFormat="1" x14ac:dyDescent="0.2">
      <c r="A36" s="29"/>
      <c r="B36" s="150"/>
      <c r="C36" s="18" t="s">
        <v>437</v>
      </c>
      <c r="D36" s="49">
        <v>9500</v>
      </c>
      <c r="E36" s="49"/>
      <c r="F36" s="49"/>
      <c r="G36" s="49"/>
      <c r="H36" s="41"/>
      <c r="I36" s="41">
        <v>0</v>
      </c>
      <c r="J36" s="41">
        <v>0</v>
      </c>
      <c r="K36" s="41">
        <v>0</v>
      </c>
    </row>
    <row r="37" spans="1:11" s="149" customFormat="1" x14ac:dyDescent="0.2">
      <c r="A37" s="29"/>
      <c r="B37" s="150"/>
      <c r="C37" s="18" t="s">
        <v>438</v>
      </c>
      <c r="D37" s="49">
        <v>700</v>
      </c>
      <c r="E37" s="49"/>
      <c r="F37" s="49"/>
      <c r="G37" s="49"/>
      <c r="H37" s="41"/>
      <c r="I37" s="41">
        <v>1100</v>
      </c>
      <c r="J37" s="41">
        <v>1100</v>
      </c>
      <c r="K37" s="41">
        <v>1100</v>
      </c>
    </row>
    <row r="38" spans="1:11" x14ac:dyDescent="0.2">
      <c r="A38" s="13"/>
      <c r="B38" s="318" t="s">
        <v>395</v>
      </c>
      <c r="C38" s="318"/>
      <c r="D38" s="12">
        <f>SUM(D39:D42)</f>
        <v>177457</v>
      </c>
      <c r="E38" s="12">
        <v>180794</v>
      </c>
      <c r="F38" s="12">
        <v>186395</v>
      </c>
      <c r="G38" s="12">
        <v>215507</v>
      </c>
      <c r="H38" s="12">
        <v>272204</v>
      </c>
      <c r="I38" s="12">
        <f t="shared" ref="I38:K38" si="7">SUM(I39:I42)</f>
        <v>351592</v>
      </c>
      <c r="J38" s="12">
        <f t="shared" si="7"/>
        <v>269803</v>
      </c>
      <c r="K38" s="12">
        <f t="shared" si="7"/>
        <v>354630</v>
      </c>
    </row>
    <row r="39" spans="1:11" s="149" customFormat="1" x14ac:dyDescent="0.2">
      <c r="A39" s="29"/>
      <c r="B39" s="150"/>
      <c r="C39" s="18" t="s">
        <v>420</v>
      </c>
      <c r="D39" s="49">
        <v>177457</v>
      </c>
      <c r="E39" s="49"/>
      <c r="F39" s="49"/>
      <c r="G39" s="49"/>
      <c r="H39" s="41"/>
      <c r="I39" s="41">
        <v>325312</v>
      </c>
      <c r="J39" s="41">
        <v>221326</v>
      </c>
      <c r="K39" s="41">
        <v>336909</v>
      </c>
    </row>
    <row r="40" spans="1:11" s="149" customFormat="1" x14ac:dyDescent="0.2">
      <c r="A40" s="29"/>
      <c r="B40" s="150"/>
      <c r="C40" s="18" t="s">
        <v>432</v>
      </c>
      <c r="D40" s="49">
        <v>0</v>
      </c>
      <c r="E40" s="49"/>
      <c r="F40" s="49"/>
      <c r="G40" s="49"/>
      <c r="H40" s="41"/>
      <c r="I40" s="41">
        <v>16280</v>
      </c>
      <c r="J40" s="41">
        <v>13280</v>
      </c>
      <c r="K40" s="41">
        <v>17721</v>
      </c>
    </row>
    <row r="41" spans="1:11" s="149" customFormat="1" x14ac:dyDescent="0.2">
      <c r="A41" s="29"/>
      <c r="B41" s="150"/>
      <c r="C41" s="18" t="s">
        <v>401</v>
      </c>
      <c r="D41" s="49">
        <v>0</v>
      </c>
      <c r="E41" s="49"/>
      <c r="F41" s="49"/>
      <c r="G41" s="49"/>
      <c r="H41" s="41"/>
      <c r="I41" s="41">
        <v>10000</v>
      </c>
      <c r="J41" s="41">
        <v>35197</v>
      </c>
      <c r="K41" s="41">
        <v>0</v>
      </c>
    </row>
    <row r="42" spans="1:11" s="149" customFormat="1" x14ac:dyDescent="0.2">
      <c r="A42" s="29"/>
      <c r="B42" s="150"/>
      <c r="C42" s="150" t="s">
        <v>439</v>
      </c>
      <c r="D42" s="49">
        <v>0</v>
      </c>
      <c r="E42" s="49"/>
      <c r="F42" s="49"/>
      <c r="G42" s="49"/>
      <c r="H42" s="41"/>
      <c r="I42" s="41">
        <v>0</v>
      </c>
      <c r="J42" s="148">
        <v>0</v>
      </c>
      <c r="K42" s="148">
        <v>0</v>
      </c>
    </row>
    <row r="43" spans="1:11" x14ac:dyDescent="0.2">
      <c r="A43" s="13"/>
      <c r="B43" s="318" t="s">
        <v>418</v>
      </c>
      <c r="C43" s="318"/>
      <c r="D43" s="12">
        <f>SUM(D44:D49)</f>
        <v>88354</v>
      </c>
      <c r="E43" s="12">
        <v>0</v>
      </c>
      <c r="F43" s="12">
        <v>30783</v>
      </c>
      <c r="G43" s="12">
        <v>0</v>
      </c>
      <c r="H43" s="12">
        <v>96445</v>
      </c>
      <c r="I43" s="12">
        <f t="shared" ref="I43" si="8">SUM(I44:I49)</f>
        <v>110021</v>
      </c>
      <c r="J43" s="12">
        <f t="shared" ref="J43:K43" si="9">SUM(J44:J48)</f>
        <v>111985</v>
      </c>
      <c r="K43" s="12">
        <f t="shared" si="9"/>
        <v>149622</v>
      </c>
    </row>
    <row r="44" spans="1:11" s="149" customFormat="1" x14ac:dyDescent="0.2">
      <c r="A44" s="29"/>
      <c r="B44" s="150"/>
      <c r="C44" s="18" t="s">
        <v>420</v>
      </c>
      <c r="D44" s="49">
        <v>53700</v>
      </c>
      <c r="E44" s="49"/>
      <c r="F44" s="49"/>
      <c r="G44" s="49"/>
      <c r="H44" s="41"/>
      <c r="I44" s="41">
        <v>76200</v>
      </c>
      <c r="J44" s="41">
        <v>76200</v>
      </c>
      <c r="K44" s="41">
        <v>112648</v>
      </c>
    </row>
    <row r="45" spans="1:11" s="149" customFormat="1" x14ac:dyDescent="0.2">
      <c r="A45" s="29"/>
      <c r="B45" s="150"/>
      <c r="C45" s="18" t="s">
        <v>440</v>
      </c>
      <c r="D45" s="49">
        <v>15410</v>
      </c>
      <c r="E45" s="49"/>
      <c r="F45" s="49"/>
      <c r="G45" s="49"/>
      <c r="H45" s="41"/>
      <c r="I45" s="41">
        <v>13486</v>
      </c>
      <c r="J45" s="41">
        <v>13486</v>
      </c>
      <c r="K45" s="41">
        <v>13486</v>
      </c>
    </row>
    <row r="46" spans="1:11" s="149" customFormat="1" x14ac:dyDescent="0.2">
      <c r="A46" s="29"/>
      <c r="B46" s="150"/>
      <c r="C46" s="18" t="s">
        <v>441</v>
      </c>
      <c r="D46" s="49">
        <v>14176</v>
      </c>
      <c r="E46" s="49"/>
      <c r="F46" s="49"/>
      <c r="G46" s="49"/>
      <c r="H46" s="41"/>
      <c r="I46" s="41">
        <v>14560</v>
      </c>
      <c r="J46" s="41">
        <v>14560</v>
      </c>
      <c r="K46" s="41">
        <v>17960</v>
      </c>
    </row>
    <row r="47" spans="1:11" s="149" customFormat="1" x14ac:dyDescent="0.2">
      <c r="A47" s="29"/>
      <c r="B47" s="150"/>
      <c r="C47" s="18" t="s">
        <v>394</v>
      </c>
      <c r="D47" s="49">
        <v>4118</v>
      </c>
      <c r="E47" s="49"/>
      <c r="F47" s="49"/>
      <c r="G47" s="49"/>
      <c r="H47" s="41"/>
      <c r="I47" s="41">
        <v>1650</v>
      </c>
      <c r="J47" s="41">
        <v>1639</v>
      </c>
      <c r="K47" s="41">
        <v>1428</v>
      </c>
    </row>
    <row r="48" spans="1:11" s="149" customFormat="1" x14ac:dyDescent="0.2">
      <c r="A48" s="29"/>
      <c r="B48" s="150"/>
      <c r="C48" s="18" t="s">
        <v>442</v>
      </c>
      <c r="D48" s="49">
        <v>300</v>
      </c>
      <c r="E48" s="49"/>
      <c r="F48" s="49"/>
      <c r="G48" s="49"/>
      <c r="H48" s="41"/>
      <c r="I48" s="41">
        <v>4125</v>
      </c>
      <c r="J48" s="41">
        <v>6100</v>
      </c>
      <c r="K48" s="41">
        <v>4100</v>
      </c>
    </row>
    <row r="49" spans="1:11" s="149" customFormat="1" x14ac:dyDescent="0.2">
      <c r="A49" s="29"/>
      <c r="B49" s="150"/>
      <c r="C49" s="18" t="s">
        <v>443</v>
      </c>
      <c r="D49" s="49">
        <v>650</v>
      </c>
      <c r="E49" s="49"/>
      <c r="F49" s="49"/>
      <c r="G49" s="49"/>
      <c r="H49" s="41"/>
      <c r="I49" s="41">
        <v>0</v>
      </c>
      <c r="J49" s="41">
        <v>0</v>
      </c>
      <c r="K49" s="41">
        <v>0</v>
      </c>
    </row>
    <row r="50" spans="1:11" x14ac:dyDescent="0.2">
      <c r="A50" s="13"/>
      <c r="B50" s="318" t="s">
        <v>408</v>
      </c>
      <c r="C50" s="318"/>
      <c r="D50" s="12">
        <f>SUM(D51:D56)</f>
        <v>186092</v>
      </c>
      <c r="E50" s="12">
        <v>177462</v>
      </c>
      <c r="F50" s="12">
        <v>313464</v>
      </c>
      <c r="G50" s="40">
        <v>193753</v>
      </c>
      <c r="H50" s="12">
        <v>232850</v>
      </c>
      <c r="I50" s="12">
        <f>SUM(I51:I56)</f>
        <v>250498</v>
      </c>
      <c r="J50" s="12">
        <f t="shared" ref="J50:K50" si="10">SUM(J51:J56)</f>
        <v>250625</v>
      </c>
      <c r="K50" s="12">
        <f t="shared" si="10"/>
        <v>410183</v>
      </c>
    </row>
    <row r="51" spans="1:11" s="149" customFormat="1" x14ac:dyDescent="0.2">
      <c r="A51" s="29"/>
      <c r="B51" s="150"/>
      <c r="C51" s="18" t="s">
        <v>420</v>
      </c>
      <c r="D51" s="49">
        <v>129500</v>
      </c>
      <c r="E51" s="49"/>
      <c r="F51" s="49"/>
      <c r="G51" s="49"/>
      <c r="H51" s="41"/>
      <c r="I51" s="41">
        <v>183443</v>
      </c>
      <c r="J51" s="41">
        <v>183500</v>
      </c>
      <c r="K51" s="41">
        <v>341220</v>
      </c>
    </row>
    <row r="52" spans="1:11" s="149" customFormat="1" x14ac:dyDescent="0.2">
      <c r="A52" s="29"/>
      <c r="B52" s="150"/>
      <c r="C52" s="18" t="s">
        <v>436</v>
      </c>
      <c r="D52" s="49">
        <v>27452</v>
      </c>
      <c r="E52" s="49"/>
      <c r="F52" s="49"/>
      <c r="G52" s="49"/>
      <c r="H52" s="41"/>
      <c r="I52" s="41">
        <v>30568</v>
      </c>
      <c r="J52" s="41">
        <v>31000</v>
      </c>
      <c r="K52" s="41">
        <v>18109</v>
      </c>
    </row>
    <row r="53" spans="1:11" s="149" customFormat="1" x14ac:dyDescent="0.2">
      <c r="A53" s="29"/>
      <c r="B53" s="150"/>
      <c r="C53" s="18" t="s">
        <v>394</v>
      </c>
      <c r="D53" s="49">
        <v>12040</v>
      </c>
      <c r="E53" s="49"/>
      <c r="F53" s="49"/>
      <c r="G53" s="49"/>
      <c r="H53" s="41"/>
      <c r="I53" s="41">
        <v>22487</v>
      </c>
      <c r="J53" s="41">
        <v>23125</v>
      </c>
      <c r="K53" s="41">
        <v>24854</v>
      </c>
    </row>
    <row r="54" spans="1:11" s="149" customFormat="1" x14ac:dyDescent="0.2">
      <c r="A54" s="29"/>
      <c r="B54" s="150"/>
      <c r="C54" s="18" t="s">
        <v>444</v>
      </c>
      <c r="D54" s="49">
        <v>6500</v>
      </c>
      <c r="E54" s="49"/>
      <c r="F54" s="49"/>
      <c r="G54" s="49"/>
      <c r="H54" s="41"/>
      <c r="I54" s="41">
        <v>13000</v>
      </c>
      <c r="J54" s="41">
        <v>12000</v>
      </c>
      <c r="K54" s="41">
        <v>25000</v>
      </c>
    </row>
    <row r="55" spans="1:11" s="149" customFormat="1" x14ac:dyDescent="0.2">
      <c r="A55" s="29"/>
      <c r="B55" s="150"/>
      <c r="C55" s="18" t="s">
        <v>445</v>
      </c>
      <c r="D55" s="49">
        <v>3000</v>
      </c>
      <c r="E55" s="49"/>
      <c r="F55" s="49"/>
      <c r="G55" s="49"/>
      <c r="H55" s="41"/>
      <c r="I55" s="41">
        <v>1000</v>
      </c>
      <c r="J55" s="41">
        <v>1000</v>
      </c>
      <c r="K55" s="41">
        <v>1000</v>
      </c>
    </row>
    <row r="56" spans="1:11" s="149" customFormat="1" x14ac:dyDescent="0.2">
      <c r="A56" s="29"/>
      <c r="B56" s="150"/>
      <c r="C56" s="18" t="s">
        <v>443</v>
      </c>
      <c r="D56" s="49">
        <v>7600</v>
      </c>
      <c r="E56" s="49"/>
      <c r="F56" s="49"/>
      <c r="G56" s="49"/>
      <c r="H56" s="41"/>
      <c r="I56" s="41">
        <v>0</v>
      </c>
      <c r="J56" s="41">
        <v>0</v>
      </c>
      <c r="K56" s="41">
        <v>0</v>
      </c>
    </row>
    <row r="57" spans="1:11" x14ac:dyDescent="0.2">
      <c r="A57" s="13" t="s">
        <v>446</v>
      </c>
      <c r="B57" s="318" t="s">
        <v>416</v>
      </c>
      <c r="C57" s="318"/>
      <c r="D57" s="12">
        <v>6000</v>
      </c>
      <c r="E57" s="12">
        <v>0</v>
      </c>
      <c r="F57" s="12">
        <v>0</v>
      </c>
      <c r="G57" s="12">
        <v>0</v>
      </c>
      <c r="H57" s="43">
        <v>0</v>
      </c>
      <c r="I57" s="43">
        <v>19000</v>
      </c>
      <c r="J57" s="113">
        <v>33900</v>
      </c>
      <c r="K57" s="113">
        <v>24800</v>
      </c>
    </row>
    <row r="58" spans="1:11" x14ac:dyDescent="0.2">
      <c r="A58" s="13"/>
      <c r="B58" s="318" t="s">
        <v>447</v>
      </c>
      <c r="C58" s="318"/>
      <c r="D58" s="12">
        <v>63000</v>
      </c>
      <c r="E58" s="12">
        <v>0</v>
      </c>
      <c r="F58" s="12">
        <v>0</v>
      </c>
      <c r="G58" s="12">
        <v>0</v>
      </c>
      <c r="H58" s="43">
        <v>0</v>
      </c>
      <c r="I58" s="43">
        <v>65600</v>
      </c>
      <c r="J58" s="113">
        <v>62872</v>
      </c>
      <c r="K58" s="113">
        <v>69930</v>
      </c>
    </row>
    <row r="59" spans="1:11" x14ac:dyDescent="0.2">
      <c r="A59" s="13"/>
      <c r="B59" s="318" t="s">
        <v>419</v>
      </c>
      <c r="C59" s="318"/>
      <c r="D59" s="12">
        <v>10500</v>
      </c>
      <c r="E59" s="12">
        <v>0</v>
      </c>
      <c r="F59" s="12">
        <v>0</v>
      </c>
      <c r="G59" s="12">
        <v>0</v>
      </c>
      <c r="H59" s="43">
        <v>0</v>
      </c>
      <c r="I59" s="43">
        <v>69600</v>
      </c>
      <c r="J59" s="113">
        <v>845167</v>
      </c>
      <c r="K59" s="113">
        <v>88464</v>
      </c>
    </row>
    <row r="60" spans="1:11" x14ac:dyDescent="0.2">
      <c r="A60" s="13"/>
      <c r="B60" s="318" t="s">
        <v>448</v>
      </c>
      <c r="C60" s="318"/>
      <c r="D60" s="12">
        <v>29550</v>
      </c>
      <c r="E60" s="12">
        <v>0</v>
      </c>
      <c r="F60" s="12">
        <v>0</v>
      </c>
      <c r="G60" s="12">
        <v>0</v>
      </c>
      <c r="H60" s="43">
        <v>0</v>
      </c>
      <c r="I60" s="43">
        <v>23233</v>
      </c>
      <c r="J60" s="113">
        <v>23233</v>
      </c>
      <c r="K60" s="113">
        <v>0</v>
      </c>
    </row>
    <row r="61" spans="1:11" x14ac:dyDescent="0.2">
      <c r="A61" s="13"/>
      <c r="B61" s="13"/>
      <c r="C61" s="13"/>
      <c r="D61" s="13"/>
      <c r="E61" s="13"/>
      <c r="F61" s="13"/>
      <c r="G61" s="13"/>
      <c r="H61" s="13"/>
      <c r="I61" s="13"/>
      <c r="J61" s="13"/>
      <c r="K61" s="13"/>
    </row>
    <row r="62" spans="1:11" s="13" customFormat="1" x14ac:dyDescent="0.2">
      <c r="A62" s="309" t="s">
        <v>413</v>
      </c>
      <c r="B62" s="309"/>
      <c r="C62" s="309"/>
      <c r="D62" s="121">
        <f t="shared" ref="D62:G62" si="11">D63+D64+D65</f>
        <v>967947</v>
      </c>
      <c r="E62" s="121">
        <f t="shared" si="11"/>
        <v>959914</v>
      </c>
      <c r="F62" s="121">
        <f t="shared" si="11"/>
        <v>872612</v>
      </c>
      <c r="G62" s="121">
        <f t="shared" si="11"/>
        <v>1027524</v>
      </c>
      <c r="H62" s="121">
        <f>H63+H64+H65</f>
        <v>1095920</v>
      </c>
      <c r="I62" s="121">
        <f t="shared" ref="I62:K62" si="12">I63+I64+I65</f>
        <v>1161670</v>
      </c>
      <c r="J62" s="121">
        <f t="shared" si="12"/>
        <v>1161670</v>
      </c>
      <c r="K62" s="121">
        <f t="shared" si="12"/>
        <v>1370770</v>
      </c>
    </row>
    <row r="63" spans="1:11" s="13" customFormat="1" x14ac:dyDescent="0.2">
      <c r="A63" s="6"/>
      <c r="B63" s="310" t="s">
        <v>414</v>
      </c>
      <c r="C63" s="311"/>
      <c r="D63" s="122">
        <v>960806</v>
      </c>
      <c r="E63" s="122">
        <v>953632</v>
      </c>
      <c r="F63" s="122">
        <v>872597</v>
      </c>
      <c r="G63" s="122">
        <v>1026472</v>
      </c>
      <c r="H63" s="122">
        <v>1097328</v>
      </c>
      <c r="I63" s="122">
        <v>1138436</v>
      </c>
      <c r="J63" s="122">
        <v>1138436</v>
      </c>
      <c r="K63" s="122">
        <v>1350208</v>
      </c>
    </row>
    <row r="64" spans="1:11" s="13" customFormat="1" x14ac:dyDescent="0.2">
      <c r="A64" s="6"/>
      <c r="B64" s="310" t="s">
        <v>449</v>
      </c>
      <c r="C64" s="311"/>
      <c r="D64" s="122">
        <v>7141</v>
      </c>
      <c r="E64" s="122">
        <v>6282</v>
      </c>
      <c r="F64" s="122">
        <v>15</v>
      </c>
      <c r="G64" s="122">
        <v>1052</v>
      </c>
      <c r="H64" s="122">
        <v>-1408</v>
      </c>
      <c r="I64" s="122"/>
      <c r="J64" s="122"/>
      <c r="K64" s="122"/>
    </row>
    <row r="65" spans="1:11" x14ac:dyDescent="0.2">
      <c r="A65" s="13"/>
      <c r="B65" s="319" t="s">
        <v>450</v>
      </c>
      <c r="C65" s="320"/>
      <c r="D65" s="123">
        <v>0</v>
      </c>
      <c r="E65" s="123">
        <v>0</v>
      </c>
      <c r="F65" s="123">
        <v>0</v>
      </c>
      <c r="G65" s="123">
        <v>0</v>
      </c>
      <c r="H65" s="123">
        <v>0</v>
      </c>
      <c r="I65" s="123">
        <v>23234</v>
      </c>
      <c r="J65" s="123">
        <v>23234</v>
      </c>
      <c r="K65" s="123">
        <v>20562</v>
      </c>
    </row>
  </sheetData>
  <mergeCells count="23">
    <mergeCell ref="B29:C29"/>
    <mergeCell ref="A1:C1"/>
    <mergeCell ref="A2:C2"/>
    <mergeCell ref="B3:C3"/>
    <mergeCell ref="B4:C4"/>
    <mergeCell ref="B5:C5"/>
    <mergeCell ref="B6:C6"/>
    <mergeCell ref="B7:C7"/>
    <mergeCell ref="B8:C8"/>
    <mergeCell ref="A9:C9"/>
    <mergeCell ref="B10:C10"/>
    <mergeCell ref="B19:C19"/>
    <mergeCell ref="B60:C60"/>
    <mergeCell ref="A62:C62"/>
    <mergeCell ref="B63:C63"/>
    <mergeCell ref="B65:C65"/>
    <mergeCell ref="B38:C38"/>
    <mergeCell ref="B43:C43"/>
    <mergeCell ref="B50:C50"/>
    <mergeCell ref="B57:C57"/>
    <mergeCell ref="B58:C58"/>
    <mergeCell ref="B59:C59"/>
    <mergeCell ref="B64:C64"/>
  </mergeCells>
  <conditionalFormatting sqref="D1:K1">
    <cfRule type="cellIs" dxfId="3" priority="1" operator="lessThan">
      <formula>0</formula>
    </cfRule>
  </conditionalFormatting>
  <conditionalFormatting sqref="H3:I8 H11:K18 H20:K28 H30:K37 H39:K41 H42:I42 H44:K49 H51:K56 H57:I60">
    <cfRule type="cellIs" dxfId="2" priority="2" operator="lessThan">
      <formula>0</formula>
    </cfRule>
  </conditionalFormatting>
  <pageMargins left="0.7" right="0.7" top="0.75" bottom="0.75" header="0.3" footer="0.3"/>
  <ignoredErrors>
    <ignoredError sqref="D50 I50:K50 J43:K43 F19" formulaRange="1"/>
    <ignoredError sqref="H62"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B400-9CBA-4C7E-868E-73C89681D76D}">
  <dimension ref="A1:K47"/>
  <sheetViews>
    <sheetView zoomScaleNormal="100" workbookViewId="0">
      <selection sqref="A1:XFD1048576"/>
    </sheetView>
  </sheetViews>
  <sheetFormatPr defaultColWidth="9.33203125" defaultRowHeight="12.75" x14ac:dyDescent="0.2"/>
  <cols>
    <col min="1" max="2" width="5" style="13" customWidth="1"/>
    <col min="3" max="3" width="51" style="13" bestFit="1" customWidth="1"/>
    <col min="4" max="6" width="17" style="13" customWidth="1"/>
    <col min="7" max="7" width="19.6640625" style="13" customWidth="1"/>
    <col min="8" max="11" width="17" style="13" customWidth="1"/>
    <col min="12" max="16384" width="9.33203125" style="13"/>
  </cols>
  <sheetData>
    <row r="1" spans="1:11" ht="25.5" x14ac:dyDescent="0.2">
      <c r="A1" s="328" t="s">
        <v>451</v>
      </c>
      <c r="B1" s="328"/>
      <c r="C1" s="328"/>
      <c r="D1" s="138" t="s">
        <v>374</v>
      </c>
      <c r="E1" s="28" t="s">
        <v>2</v>
      </c>
      <c r="F1" s="28" t="s">
        <v>3</v>
      </c>
      <c r="G1" s="28" t="s">
        <v>4</v>
      </c>
      <c r="H1" s="28" t="s">
        <v>5</v>
      </c>
      <c r="I1" s="28" t="s">
        <v>6</v>
      </c>
      <c r="J1" s="28" t="s">
        <v>7</v>
      </c>
      <c r="K1" s="28" t="s">
        <v>8</v>
      </c>
    </row>
    <row r="2" spans="1:11" x14ac:dyDescent="0.2">
      <c r="A2" s="329" t="s">
        <v>452</v>
      </c>
      <c r="B2" s="329"/>
      <c r="C2" s="329"/>
      <c r="D2" s="132">
        <f>SUM(D3:D6)</f>
        <v>18199644</v>
      </c>
      <c r="E2" s="132">
        <f t="shared" ref="E2:K2" si="0">SUM(E3:E6)</f>
        <v>19520574</v>
      </c>
      <c r="F2" s="132">
        <f t="shared" si="0"/>
        <v>20175024</v>
      </c>
      <c r="G2" s="132">
        <f t="shared" si="0"/>
        <v>20796423</v>
      </c>
      <c r="H2" s="132">
        <f t="shared" si="0"/>
        <v>25875349</v>
      </c>
      <c r="I2" s="132">
        <f t="shared" si="0"/>
        <v>30692665</v>
      </c>
      <c r="J2" s="132">
        <f t="shared" si="0"/>
        <v>29746272</v>
      </c>
      <c r="K2" s="132">
        <f t="shared" si="0"/>
        <v>31849057</v>
      </c>
    </row>
    <row r="3" spans="1:11" x14ac:dyDescent="0.2">
      <c r="B3" s="139" t="s">
        <v>453</v>
      </c>
      <c r="C3" s="139"/>
      <c r="D3" s="133">
        <v>16254481</v>
      </c>
      <c r="E3" s="133">
        <v>17542436</v>
      </c>
      <c r="F3" s="133">
        <v>18727080</v>
      </c>
      <c r="G3" s="133">
        <v>19342246</v>
      </c>
      <c r="H3" s="133">
        <v>24417887</v>
      </c>
      <c r="I3" s="133">
        <v>24831487</v>
      </c>
      <c r="J3" s="133">
        <v>23969297</v>
      </c>
      <c r="K3" s="133">
        <v>24850934</v>
      </c>
    </row>
    <row r="4" spans="1:11" x14ac:dyDescent="0.2">
      <c r="B4" s="137" t="s">
        <v>454</v>
      </c>
      <c r="C4" s="137"/>
      <c r="D4" s="134">
        <v>0</v>
      </c>
      <c r="E4" s="134">
        <v>0</v>
      </c>
      <c r="F4" s="134">
        <v>0</v>
      </c>
      <c r="G4" s="134">
        <v>0</v>
      </c>
      <c r="H4" s="134">
        <v>0</v>
      </c>
      <c r="I4" s="134">
        <v>297120</v>
      </c>
      <c r="J4" s="134">
        <v>297120</v>
      </c>
      <c r="K4" s="134">
        <v>1041319</v>
      </c>
    </row>
    <row r="5" spans="1:11" x14ac:dyDescent="0.2">
      <c r="B5" s="137" t="s">
        <v>455</v>
      </c>
      <c r="C5" s="137"/>
      <c r="D5" s="134">
        <v>1804164</v>
      </c>
      <c r="E5" s="134">
        <v>1760946</v>
      </c>
      <c r="F5" s="134">
        <v>1333758</v>
      </c>
      <c r="G5" s="134">
        <v>1363299</v>
      </c>
      <c r="H5" s="134">
        <v>1390171</v>
      </c>
      <c r="I5" s="134">
        <v>5294792</v>
      </c>
      <c r="J5" s="134">
        <v>5210589</v>
      </c>
      <c r="K5" s="134">
        <v>5688929</v>
      </c>
    </row>
    <row r="6" spans="1:11" x14ac:dyDescent="0.2">
      <c r="B6" s="330" t="s">
        <v>456</v>
      </c>
      <c r="C6" s="330"/>
      <c r="D6" s="134">
        <v>140999</v>
      </c>
      <c r="E6" s="134">
        <v>217192</v>
      </c>
      <c r="F6" s="134">
        <v>114186</v>
      </c>
      <c r="G6" s="134">
        <v>90878</v>
      </c>
      <c r="H6" s="134">
        <v>67291</v>
      </c>
      <c r="I6" s="134">
        <v>269266</v>
      </c>
      <c r="J6" s="134">
        <v>269266</v>
      </c>
      <c r="K6" s="134">
        <v>267875</v>
      </c>
    </row>
    <row r="9" spans="1:11" ht="25.5" x14ac:dyDescent="0.2">
      <c r="A9" s="331" t="s">
        <v>457</v>
      </c>
      <c r="B9" s="332"/>
      <c r="C9" s="333"/>
      <c r="D9" s="177" t="s">
        <v>458</v>
      </c>
      <c r="E9" s="177" t="s">
        <v>459</v>
      </c>
      <c r="F9" s="141" t="s">
        <v>460</v>
      </c>
      <c r="G9" s="141" t="s">
        <v>461</v>
      </c>
      <c r="H9" s="141" t="s">
        <v>462</v>
      </c>
      <c r="I9" s="141" t="s">
        <v>463</v>
      </c>
      <c r="J9" s="141" t="s">
        <v>464</v>
      </c>
    </row>
    <row r="10" spans="1:11" x14ac:dyDescent="0.2">
      <c r="A10" s="161" t="s">
        <v>465</v>
      </c>
      <c r="B10" s="161"/>
      <c r="C10" s="161"/>
      <c r="D10" s="161"/>
      <c r="E10" s="161"/>
      <c r="F10" s="140">
        <f>F11+F25+F27+F40</f>
        <v>283670376</v>
      </c>
      <c r="G10" s="140">
        <f>G11+G25+G27+G40</f>
        <v>22875979</v>
      </c>
      <c r="H10" s="140">
        <f t="shared" ref="H10:J10" si="1">H11+H25+H27+H40</f>
        <v>4827519</v>
      </c>
      <c r="I10" s="140">
        <f t="shared" si="1"/>
        <v>27703498</v>
      </c>
      <c r="J10" s="140">
        <f t="shared" si="1"/>
        <v>129196917</v>
      </c>
    </row>
    <row r="11" spans="1:11" x14ac:dyDescent="0.2">
      <c r="B11" s="139" t="s">
        <v>466</v>
      </c>
      <c r="C11" s="218"/>
      <c r="D11" s="219"/>
      <c r="E11" s="220"/>
      <c r="F11" s="116">
        <f>SUM(F12:F24)</f>
        <v>203906344</v>
      </c>
      <c r="G11" s="116">
        <f t="shared" ref="G11:H11" si="2">SUM(G12:G24)</f>
        <v>18409157</v>
      </c>
      <c r="H11" s="116">
        <f t="shared" si="2"/>
        <v>3541777</v>
      </c>
      <c r="I11" s="116">
        <f>SUM(I12:I24)</f>
        <v>21950934</v>
      </c>
      <c r="J11" s="116">
        <f t="shared" ref="J11" si="3">SUM(J12:J24)</f>
        <v>90088316</v>
      </c>
    </row>
    <row r="12" spans="1:11" s="29" customFormat="1" x14ac:dyDescent="0.2">
      <c r="B12" s="151"/>
      <c r="C12" s="151" t="s">
        <v>467</v>
      </c>
      <c r="D12" s="152">
        <v>48976</v>
      </c>
      <c r="E12" s="153">
        <v>2.9000000000000001E-2</v>
      </c>
      <c r="F12" s="154">
        <v>9212110</v>
      </c>
      <c r="G12" s="155">
        <v>418000</v>
      </c>
      <c r="H12" s="155">
        <v>81300</v>
      </c>
      <c r="I12" s="155">
        <f>H12+G12</f>
        <v>499300</v>
      </c>
      <c r="J12" s="155">
        <v>2163000</v>
      </c>
    </row>
    <row r="13" spans="1:11" s="29" customFormat="1" x14ac:dyDescent="0.2">
      <c r="B13" s="151"/>
      <c r="C13" s="151" t="s">
        <v>468</v>
      </c>
      <c r="D13" s="152">
        <v>46447</v>
      </c>
      <c r="E13" s="153">
        <v>2.5000000000000001E-2</v>
      </c>
      <c r="F13" s="156">
        <v>14797719</v>
      </c>
      <c r="G13" s="157">
        <v>878796</v>
      </c>
      <c r="H13" s="157">
        <v>89947</v>
      </c>
      <c r="I13" s="155">
        <f t="shared" ref="I13:I24" si="4">H13+G13</f>
        <v>968743</v>
      </c>
      <c r="J13" s="157">
        <v>1076655</v>
      </c>
    </row>
    <row r="14" spans="1:11" s="29" customFormat="1" x14ac:dyDescent="0.2">
      <c r="B14" s="151"/>
      <c r="C14" s="151" t="s">
        <v>469</v>
      </c>
      <c r="D14" s="152">
        <v>47515</v>
      </c>
      <c r="E14" s="153">
        <v>2.9000000000000001E-2</v>
      </c>
      <c r="F14" s="156">
        <v>6139500</v>
      </c>
      <c r="G14" s="157">
        <v>346000</v>
      </c>
      <c r="H14" s="157">
        <v>55041</v>
      </c>
      <c r="I14" s="155">
        <f t="shared" si="4"/>
        <v>401041</v>
      </c>
      <c r="J14" s="157">
        <v>1403000</v>
      </c>
    </row>
    <row r="15" spans="1:11" s="29" customFormat="1" x14ac:dyDescent="0.2">
      <c r="B15" s="151"/>
      <c r="C15" s="151" t="s">
        <v>470</v>
      </c>
      <c r="D15" s="152">
        <v>47880</v>
      </c>
      <c r="E15" s="153">
        <v>0.02</v>
      </c>
      <c r="F15" s="156">
        <v>10692840</v>
      </c>
      <c r="G15" s="157">
        <v>434000</v>
      </c>
      <c r="H15" s="157">
        <v>58558</v>
      </c>
      <c r="I15" s="155">
        <f t="shared" si="4"/>
        <v>492558</v>
      </c>
      <c r="J15" s="157">
        <v>2268000</v>
      </c>
    </row>
    <row r="16" spans="1:11" s="29" customFormat="1" x14ac:dyDescent="0.2">
      <c r="B16" s="151"/>
      <c r="C16" s="151" t="s">
        <v>471</v>
      </c>
      <c r="D16" s="152">
        <v>48335</v>
      </c>
      <c r="E16" s="153">
        <v>2.1999999999999999E-2</v>
      </c>
      <c r="F16" s="156">
        <v>14286000</v>
      </c>
      <c r="G16" s="157">
        <v>746000</v>
      </c>
      <c r="H16" s="157">
        <v>171050</v>
      </c>
      <c r="I16" s="155">
        <f t="shared" si="4"/>
        <v>917050</v>
      </c>
      <c r="J16" s="157">
        <v>4024000</v>
      </c>
    </row>
    <row r="17" spans="2:10" s="29" customFormat="1" x14ac:dyDescent="0.2">
      <c r="B17" s="151"/>
      <c r="C17" s="151" t="s">
        <v>472</v>
      </c>
      <c r="D17" s="152">
        <v>48700</v>
      </c>
      <c r="E17" s="153">
        <v>2.7E-2</v>
      </c>
      <c r="F17" s="156">
        <v>11376000</v>
      </c>
      <c r="G17" s="157">
        <v>647000</v>
      </c>
      <c r="H17" s="157">
        <v>176840</v>
      </c>
      <c r="I17" s="155">
        <f t="shared" si="4"/>
        <v>823840</v>
      </c>
      <c r="J17" s="157">
        <v>3774000</v>
      </c>
    </row>
    <row r="18" spans="2:10" s="29" customFormat="1" x14ac:dyDescent="0.2">
      <c r="B18" s="151"/>
      <c r="C18" s="151" t="s">
        <v>473</v>
      </c>
      <c r="D18" s="152">
        <v>49079</v>
      </c>
      <c r="E18" s="153">
        <v>2.1999999999999999E-2</v>
      </c>
      <c r="F18" s="156">
        <v>13407000</v>
      </c>
      <c r="G18" s="157">
        <v>848000</v>
      </c>
      <c r="H18" s="157">
        <v>273000</v>
      </c>
      <c r="I18" s="155">
        <f t="shared" si="4"/>
        <v>1121000</v>
      </c>
      <c r="J18" s="157">
        <v>5977000</v>
      </c>
    </row>
    <row r="19" spans="2:10" s="29" customFormat="1" x14ac:dyDescent="0.2">
      <c r="B19" s="151"/>
      <c r="C19" s="151" t="s">
        <v>474</v>
      </c>
      <c r="D19" s="152">
        <v>49444</v>
      </c>
      <c r="E19" s="153">
        <v>1.7999999999999999E-2</v>
      </c>
      <c r="F19" s="156">
        <v>14145000</v>
      </c>
      <c r="G19" s="157">
        <v>896000</v>
      </c>
      <c r="H19" s="157">
        <v>361840</v>
      </c>
      <c r="I19" s="155">
        <f t="shared" si="4"/>
        <v>1257840</v>
      </c>
      <c r="J19" s="157">
        <v>8150000</v>
      </c>
    </row>
    <row r="20" spans="2:10" s="29" customFormat="1" x14ac:dyDescent="0.2">
      <c r="B20" s="151"/>
      <c r="C20" s="151" t="s">
        <v>475</v>
      </c>
      <c r="D20" s="152">
        <v>47983</v>
      </c>
      <c r="E20" s="153">
        <v>1.7999999999999999E-2</v>
      </c>
      <c r="F20" s="156">
        <v>9955000</v>
      </c>
      <c r="G20" s="157">
        <v>400000</v>
      </c>
      <c r="H20" s="157">
        <v>138000</v>
      </c>
      <c r="I20" s="155">
        <f t="shared" si="4"/>
        <v>538000</v>
      </c>
      <c r="J20" s="157">
        <v>2360000</v>
      </c>
    </row>
    <row r="21" spans="2:10" s="29" customFormat="1" x14ac:dyDescent="0.2">
      <c r="B21" s="151"/>
      <c r="C21" s="151" t="s">
        <v>476</v>
      </c>
      <c r="D21" s="152">
        <v>49810</v>
      </c>
      <c r="E21" s="153">
        <v>0.02</v>
      </c>
      <c r="F21" s="156">
        <v>43891968</v>
      </c>
      <c r="G21" s="157">
        <v>2625000</v>
      </c>
      <c r="H21" s="157">
        <v>731720</v>
      </c>
      <c r="I21" s="155">
        <f t="shared" si="4"/>
        <v>3356720</v>
      </c>
      <c r="J21" s="157">
        <v>33961000</v>
      </c>
    </row>
    <row r="22" spans="2:10" s="29" customFormat="1" x14ac:dyDescent="0.2">
      <c r="B22" s="151"/>
      <c r="C22" s="151" t="s">
        <v>477</v>
      </c>
      <c r="D22" s="152">
        <v>48731</v>
      </c>
      <c r="E22" s="153">
        <v>0.04</v>
      </c>
      <c r="F22" s="156">
        <v>5448000</v>
      </c>
      <c r="G22" s="157">
        <v>700000</v>
      </c>
      <c r="H22" s="157">
        <v>79200</v>
      </c>
      <c r="I22" s="155">
        <f t="shared" si="4"/>
        <v>779200</v>
      </c>
      <c r="J22" s="157">
        <v>1280000</v>
      </c>
    </row>
    <row r="23" spans="2:10" s="29" customFormat="1" x14ac:dyDescent="0.2">
      <c r="B23" s="151"/>
      <c r="C23" s="151" t="s">
        <v>478</v>
      </c>
      <c r="D23" s="152">
        <v>52001</v>
      </c>
      <c r="E23" s="153">
        <v>0.04</v>
      </c>
      <c r="F23" s="156">
        <v>19819977</v>
      </c>
      <c r="G23" s="157">
        <v>3091000</v>
      </c>
      <c r="H23" s="157">
        <v>584800</v>
      </c>
      <c r="I23" s="155">
        <f t="shared" si="4"/>
        <v>3675800</v>
      </c>
      <c r="J23" s="157">
        <v>11519000</v>
      </c>
    </row>
    <row r="24" spans="2:10" s="29" customFormat="1" x14ac:dyDescent="0.2">
      <c r="B24" s="151"/>
      <c r="C24" s="151" t="s">
        <v>479</v>
      </c>
      <c r="D24" s="152">
        <v>48700</v>
      </c>
      <c r="E24" s="153">
        <v>0.04</v>
      </c>
      <c r="F24" s="158">
        <v>30735230</v>
      </c>
      <c r="G24" s="159">
        <v>6379361</v>
      </c>
      <c r="H24" s="159">
        <v>740481</v>
      </c>
      <c r="I24" s="155">
        <f t="shared" si="4"/>
        <v>7119842</v>
      </c>
      <c r="J24" s="159">
        <v>12132661</v>
      </c>
    </row>
    <row r="25" spans="2:10" x14ac:dyDescent="0.2">
      <c r="B25" s="324" t="s">
        <v>480</v>
      </c>
      <c r="C25" s="325"/>
      <c r="D25" s="325"/>
      <c r="E25" s="326"/>
      <c r="F25" s="142">
        <f>F26</f>
        <v>3000000</v>
      </c>
      <c r="G25" s="142">
        <f t="shared" ref="G25:J25" si="5">G26</f>
        <v>190000</v>
      </c>
      <c r="H25" s="142">
        <f t="shared" si="5"/>
        <v>105760</v>
      </c>
      <c r="I25" s="142">
        <f>I26</f>
        <v>295760</v>
      </c>
      <c r="J25" s="142">
        <f t="shared" si="5"/>
        <v>2454000</v>
      </c>
    </row>
    <row r="26" spans="2:10" s="29" customFormat="1" x14ac:dyDescent="0.2">
      <c r="B26" s="151"/>
      <c r="C26" s="151" t="s">
        <v>478</v>
      </c>
      <c r="D26" s="152">
        <v>52001</v>
      </c>
      <c r="E26" s="153">
        <v>0.04</v>
      </c>
      <c r="F26" s="160">
        <v>3000000</v>
      </c>
      <c r="G26" s="160">
        <v>190000</v>
      </c>
      <c r="H26" s="160">
        <v>105760</v>
      </c>
      <c r="I26" s="160">
        <f>H26+G26</f>
        <v>295760</v>
      </c>
      <c r="J26" s="160">
        <v>2454000</v>
      </c>
    </row>
    <row r="27" spans="2:10" x14ac:dyDescent="0.2">
      <c r="B27" s="319" t="s">
        <v>481</v>
      </c>
      <c r="C27" s="327"/>
      <c r="D27" s="327"/>
      <c r="E27" s="320"/>
      <c r="F27" s="143">
        <f>SUM(F28:F39)</f>
        <v>72374002</v>
      </c>
      <c r="G27" s="143">
        <f t="shared" ref="G27:H27" si="6">SUM(G28:G39)</f>
        <v>4037821</v>
      </c>
      <c r="H27" s="143">
        <f t="shared" si="6"/>
        <v>1151109</v>
      </c>
      <c r="I27" s="143">
        <f>SUM(I28:I39)</f>
        <v>5188930</v>
      </c>
      <c r="J27" s="143">
        <f t="shared" ref="J27" si="7">SUM(J28:J39)</f>
        <v>36220753</v>
      </c>
    </row>
    <row r="28" spans="2:10" s="29" customFormat="1" x14ac:dyDescent="0.2">
      <c r="B28" s="151"/>
      <c r="C28" s="151" t="s">
        <v>482</v>
      </c>
      <c r="D28" s="152">
        <v>51044</v>
      </c>
      <c r="E28" s="153">
        <v>4.1000000000000002E-2</v>
      </c>
      <c r="F28" s="155">
        <v>36381323</v>
      </c>
      <c r="G28" s="155">
        <v>1225000</v>
      </c>
      <c r="H28" s="155">
        <v>412523</v>
      </c>
      <c r="I28" s="155">
        <f>H28+G28</f>
        <v>1637523</v>
      </c>
      <c r="J28" s="155">
        <v>18840000</v>
      </c>
    </row>
    <row r="29" spans="2:10" s="29" customFormat="1" x14ac:dyDescent="0.2">
      <c r="B29" s="151"/>
      <c r="C29" s="151" t="s">
        <v>467</v>
      </c>
      <c r="D29" s="152">
        <v>48976</v>
      </c>
      <c r="E29" s="153">
        <v>2.9000000000000001E-2</v>
      </c>
      <c r="F29" s="157">
        <v>2000000</v>
      </c>
      <c r="G29" s="157">
        <v>105000</v>
      </c>
      <c r="H29" s="157">
        <v>33115</v>
      </c>
      <c r="I29" s="155">
        <f t="shared" ref="I29:I39" si="8">H29+G29</f>
        <v>138115</v>
      </c>
      <c r="J29" s="157">
        <v>922000</v>
      </c>
    </row>
    <row r="30" spans="2:10" s="29" customFormat="1" x14ac:dyDescent="0.2">
      <c r="B30" s="151"/>
      <c r="C30" s="151" t="s">
        <v>468</v>
      </c>
      <c r="D30" s="152">
        <v>46447</v>
      </c>
      <c r="E30" s="153">
        <v>2.5000000000000001E-2</v>
      </c>
      <c r="F30" s="157">
        <v>7317909</v>
      </c>
      <c r="G30" s="157">
        <v>451182</v>
      </c>
      <c r="H30" s="157">
        <v>46180</v>
      </c>
      <c r="I30" s="155">
        <f t="shared" si="8"/>
        <v>497362</v>
      </c>
      <c r="J30" s="157">
        <v>472414</v>
      </c>
    </row>
    <row r="31" spans="2:10" s="29" customFormat="1" x14ac:dyDescent="0.2">
      <c r="B31" s="151"/>
      <c r="C31" s="151" t="s">
        <v>469</v>
      </c>
      <c r="D31" s="152">
        <v>47515</v>
      </c>
      <c r="E31" s="153">
        <v>2.9000000000000001E-2</v>
      </c>
      <c r="F31" s="157">
        <v>1000000</v>
      </c>
      <c r="G31" s="157">
        <v>75000</v>
      </c>
      <c r="H31" s="157">
        <v>12269</v>
      </c>
      <c r="I31" s="155">
        <f t="shared" si="8"/>
        <v>87269</v>
      </c>
      <c r="J31" s="157">
        <v>315000</v>
      </c>
    </row>
    <row r="32" spans="2:10" s="29" customFormat="1" x14ac:dyDescent="0.2">
      <c r="B32" s="151"/>
      <c r="C32" s="151" t="s">
        <v>483</v>
      </c>
      <c r="D32" s="152">
        <v>47880</v>
      </c>
      <c r="E32" s="153">
        <v>0.02</v>
      </c>
      <c r="F32" s="157">
        <v>1400000</v>
      </c>
      <c r="G32" s="157">
        <v>105000</v>
      </c>
      <c r="H32" s="157">
        <v>13973</v>
      </c>
      <c r="I32" s="155">
        <f t="shared" si="8"/>
        <v>118973</v>
      </c>
      <c r="J32" s="157">
        <v>541000</v>
      </c>
    </row>
    <row r="33" spans="2:10" s="29" customFormat="1" x14ac:dyDescent="0.2">
      <c r="B33" s="151"/>
      <c r="C33" s="151" t="s">
        <v>484</v>
      </c>
      <c r="D33" s="152">
        <v>49079</v>
      </c>
      <c r="E33" s="153">
        <v>2.1999999999999999E-2</v>
      </c>
      <c r="F33" s="157">
        <v>1200000</v>
      </c>
      <c r="G33" s="157">
        <v>84000</v>
      </c>
      <c r="H33" s="157">
        <v>32840</v>
      </c>
      <c r="I33" s="155">
        <f t="shared" si="8"/>
        <v>116840</v>
      </c>
      <c r="J33" s="157">
        <v>737000</v>
      </c>
    </row>
    <row r="34" spans="2:10" s="29" customFormat="1" x14ac:dyDescent="0.2">
      <c r="B34" s="151"/>
      <c r="C34" s="151" t="s">
        <v>485</v>
      </c>
      <c r="D34" s="152">
        <v>49444</v>
      </c>
      <c r="E34" s="153">
        <v>1.7999999999999999E-2</v>
      </c>
      <c r="F34" s="157">
        <v>875000</v>
      </c>
      <c r="G34" s="157">
        <v>59000</v>
      </c>
      <c r="H34" s="157">
        <v>26360</v>
      </c>
      <c r="I34" s="155">
        <f t="shared" si="8"/>
        <v>85360</v>
      </c>
      <c r="J34" s="157">
        <v>600000</v>
      </c>
    </row>
    <row r="35" spans="2:10" s="29" customFormat="1" x14ac:dyDescent="0.2">
      <c r="B35" s="151"/>
      <c r="C35" s="151" t="s">
        <v>486</v>
      </c>
      <c r="D35" s="152">
        <v>47983</v>
      </c>
      <c r="E35" s="153">
        <v>1.7999999999999999E-2</v>
      </c>
      <c r="F35" s="157">
        <v>1040000</v>
      </c>
      <c r="G35" s="157">
        <v>70000</v>
      </c>
      <c r="H35" s="157">
        <v>24750</v>
      </c>
      <c r="I35" s="155">
        <f t="shared" si="8"/>
        <v>94750</v>
      </c>
      <c r="J35" s="157">
        <v>425000</v>
      </c>
    </row>
    <row r="36" spans="2:10" s="29" customFormat="1" x14ac:dyDescent="0.2">
      <c r="B36" s="151"/>
      <c r="C36" s="151" t="s">
        <v>487</v>
      </c>
      <c r="D36" s="152">
        <v>49810</v>
      </c>
      <c r="E36" s="153">
        <v>0.02</v>
      </c>
      <c r="F36" s="157">
        <v>4025000</v>
      </c>
      <c r="G36" s="157">
        <v>375000</v>
      </c>
      <c r="H36" s="157">
        <v>60180</v>
      </c>
      <c r="I36" s="155">
        <f t="shared" si="8"/>
        <v>435180</v>
      </c>
      <c r="J36" s="157">
        <v>2634000</v>
      </c>
    </row>
    <row r="37" spans="2:10" s="29" customFormat="1" x14ac:dyDescent="0.2">
      <c r="B37" s="151"/>
      <c r="C37" s="151" t="s">
        <v>488</v>
      </c>
      <c r="D37" s="152">
        <v>48731</v>
      </c>
      <c r="E37" s="153">
        <v>0.04</v>
      </c>
      <c r="F37" s="157">
        <v>11615000</v>
      </c>
      <c r="G37" s="157">
        <v>1005000</v>
      </c>
      <c r="H37" s="157">
        <v>305600</v>
      </c>
      <c r="I37" s="155">
        <f t="shared" si="8"/>
        <v>1310600</v>
      </c>
      <c r="J37" s="157">
        <v>6635000</v>
      </c>
    </row>
    <row r="38" spans="2:10" s="29" customFormat="1" x14ac:dyDescent="0.2">
      <c r="B38" s="151"/>
      <c r="C38" s="151" t="s">
        <v>489</v>
      </c>
      <c r="D38" s="152">
        <v>52001</v>
      </c>
      <c r="E38" s="153">
        <v>0.04</v>
      </c>
      <c r="F38" s="157">
        <v>1300000</v>
      </c>
      <c r="G38" s="157">
        <v>83000</v>
      </c>
      <c r="H38" s="157">
        <v>45800</v>
      </c>
      <c r="I38" s="155">
        <f t="shared" si="8"/>
        <v>128800</v>
      </c>
      <c r="J38" s="157">
        <v>1062000</v>
      </c>
    </row>
    <row r="39" spans="2:10" s="29" customFormat="1" x14ac:dyDescent="0.2">
      <c r="B39" s="151"/>
      <c r="C39" s="151" t="s">
        <v>490</v>
      </c>
      <c r="D39" s="152">
        <v>45047</v>
      </c>
      <c r="E39" s="153">
        <v>0.04</v>
      </c>
      <c r="F39" s="159">
        <v>4219770</v>
      </c>
      <c r="G39" s="159">
        <v>400639</v>
      </c>
      <c r="H39" s="159">
        <v>137519</v>
      </c>
      <c r="I39" s="155">
        <f t="shared" si="8"/>
        <v>538158</v>
      </c>
      <c r="J39" s="159">
        <v>3037339</v>
      </c>
    </row>
    <row r="40" spans="2:10" x14ac:dyDescent="0.2">
      <c r="B40" s="319" t="s">
        <v>491</v>
      </c>
      <c r="C40" s="327"/>
      <c r="D40" s="327"/>
      <c r="E40" s="320"/>
      <c r="F40" s="143">
        <f>SUM(F41:F44)</f>
        <v>4390030</v>
      </c>
      <c r="G40" s="143">
        <f t="shared" ref="G40:H40" si="9">SUM(G41:G44)</f>
        <v>239001</v>
      </c>
      <c r="H40" s="143">
        <f t="shared" si="9"/>
        <v>28873</v>
      </c>
      <c r="I40" s="143">
        <f>SUM(I41:I44)</f>
        <v>267874</v>
      </c>
      <c r="J40" s="143">
        <f t="shared" ref="J40" si="10">SUM(J41:J44)</f>
        <v>433848</v>
      </c>
    </row>
    <row r="41" spans="2:10" s="29" customFormat="1" x14ac:dyDescent="0.2">
      <c r="B41" s="151"/>
      <c r="C41" s="151" t="s">
        <v>467</v>
      </c>
      <c r="D41" s="152">
        <v>48976</v>
      </c>
      <c r="E41" s="153">
        <v>2.9000000000000001E-2</v>
      </c>
      <c r="F41" s="154">
        <v>220000</v>
      </c>
      <c r="G41" s="155">
        <v>12000</v>
      </c>
      <c r="H41" s="155">
        <v>3616</v>
      </c>
      <c r="I41" s="155">
        <f>H41+G41</f>
        <v>15616</v>
      </c>
      <c r="J41" s="155">
        <v>100000</v>
      </c>
    </row>
    <row r="42" spans="2:10" s="29" customFormat="1" x14ac:dyDescent="0.2">
      <c r="B42" s="151"/>
      <c r="C42" s="151" t="s">
        <v>468</v>
      </c>
      <c r="D42" s="152">
        <v>46447</v>
      </c>
      <c r="E42" s="153">
        <v>2.5000000000000001E-2</v>
      </c>
      <c r="F42" s="156">
        <v>3800030</v>
      </c>
      <c r="G42" s="157">
        <v>188001</v>
      </c>
      <c r="H42" s="157">
        <v>19242</v>
      </c>
      <c r="I42" s="155">
        <f t="shared" ref="I42:I44" si="11">H42+G42</f>
        <v>207243</v>
      </c>
      <c r="J42" s="157">
        <v>196848</v>
      </c>
    </row>
    <row r="43" spans="2:10" s="29" customFormat="1" x14ac:dyDescent="0.2">
      <c r="B43" s="151"/>
      <c r="C43" s="151" t="s">
        <v>470</v>
      </c>
      <c r="D43" s="152">
        <v>47880</v>
      </c>
      <c r="E43" s="153">
        <v>0.02</v>
      </c>
      <c r="F43" s="156">
        <v>120000</v>
      </c>
      <c r="G43" s="157">
        <v>9000</v>
      </c>
      <c r="H43" s="157">
        <v>1215</v>
      </c>
      <c r="I43" s="155">
        <f t="shared" si="11"/>
        <v>10215</v>
      </c>
      <c r="J43" s="157">
        <v>47000</v>
      </c>
    </row>
    <row r="44" spans="2:10" s="29" customFormat="1" x14ac:dyDescent="0.2">
      <c r="B44" s="151"/>
      <c r="C44" s="151" t="s">
        <v>473</v>
      </c>
      <c r="D44" s="152">
        <v>49079</v>
      </c>
      <c r="E44" s="153">
        <v>2.1999999999999999E-2</v>
      </c>
      <c r="F44" s="156">
        <v>250000</v>
      </c>
      <c r="G44" s="157">
        <v>30000</v>
      </c>
      <c r="H44" s="157">
        <v>4800</v>
      </c>
      <c r="I44" s="155">
        <f t="shared" si="11"/>
        <v>34800</v>
      </c>
      <c r="J44" s="157">
        <v>90000</v>
      </c>
    </row>
    <row r="45" spans="2:10" x14ac:dyDescent="0.2">
      <c r="F45" s="136"/>
      <c r="G45" s="136"/>
      <c r="H45" s="136"/>
      <c r="I45" s="136"/>
    </row>
    <row r="47" spans="2:10" x14ac:dyDescent="0.2">
      <c r="B47" s="13" t="s">
        <v>492</v>
      </c>
    </row>
  </sheetData>
  <mergeCells count="7">
    <mergeCell ref="B25:E25"/>
    <mergeCell ref="B27:E27"/>
    <mergeCell ref="B40:E40"/>
    <mergeCell ref="A1:C1"/>
    <mergeCell ref="A2:C2"/>
    <mergeCell ref="B6:C6"/>
    <mergeCell ref="A9:C9"/>
  </mergeCells>
  <conditionalFormatting sqref="D1:K2">
    <cfRule type="cellIs" dxfId="1" priority="1" operator="lessThan">
      <formula>0</formula>
    </cfRule>
  </conditionalFormatting>
  <pageMargins left="0.7" right="0.7" top="0.75" bottom="0.75" header="0.3" footer="0.3"/>
  <ignoredErrors>
    <ignoredError sqref="I40 I27 I2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855CB-5086-4247-8E73-8DA81EBD495C}">
  <dimension ref="A1:K19"/>
  <sheetViews>
    <sheetView workbookViewId="0">
      <selection activeCell="J13" sqref="J13"/>
    </sheetView>
  </sheetViews>
  <sheetFormatPr defaultColWidth="9.33203125" defaultRowHeight="16.5" customHeight="1" x14ac:dyDescent="0.3"/>
  <cols>
    <col min="1" max="1" width="4.83203125" style="181" customWidth="1"/>
    <col min="2" max="2" width="46.33203125" style="181" bestFit="1" customWidth="1"/>
    <col min="3" max="3" width="17" style="182" customWidth="1"/>
    <col min="4" max="5" width="17" style="181" customWidth="1"/>
    <col min="6" max="6" width="20.5" style="181" customWidth="1"/>
    <col min="7" max="8" width="17" style="181" customWidth="1"/>
    <col min="9" max="9" width="17.83203125" style="181" bestFit="1" customWidth="1"/>
    <col min="10" max="10" width="29.5" style="181" customWidth="1"/>
    <col min="11" max="16384" width="9.33203125" style="181"/>
  </cols>
  <sheetData>
    <row r="1" spans="1:11" ht="25.5" x14ac:dyDescent="0.3">
      <c r="B1" s="183"/>
      <c r="C1" s="194" t="s">
        <v>1</v>
      </c>
      <c r="D1" s="194" t="s">
        <v>2</v>
      </c>
      <c r="E1" s="194" t="s">
        <v>3</v>
      </c>
      <c r="F1" s="194" t="s">
        <v>4</v>
      </c>
      <c r="G1" s="194" t="s">
        <v>5</v>
      </c>
      <c r="H1" s="194" t="s">
        <v>493</v>
      </c>
      <c r="I1" s="194" t="s">
        <v>8</v>
      </c>
    </row>
    <row r="2" spans="1:11" x14ac:dyDescent="0.3">
      <c r="A2" s="223"/>
      <c r="B2" s="187" t="s">
        <v>494</v>
      </c>
      <c r="C2" s="197">
        <v>36789781</v>
      </c>
      <c r="D2" s="192">
        <v>38361776</v>
      </c>
      <c r="E2" s="192">
        <v>38696759</v>
      </c>
      <c r="F2" s="192">
        <v>40851161</v>
      </c>
      <c r="G2" s="192">
        <v>47583565</v>
      </c>
      <c r="H2" s="192">
        <v>54866750</v>
      </c>
      <c r="I2" s="191">
        <v>61508458</v>
      </c>
      <c r="J2" s="201"/>
    </row>
    <row r="3" spans="1:11" x14ac:dyDescent="0.3">
      <c r="A3" s="223"/>
      <c r="B3" s="187" t="s">
        <v>495</v>
      </c>
      <c r="C3" s="196">
        <v>9.7539999999999996</v>
      </c>
      <c r="D3" s="193">
        <f>0.0100132*1000</f>
        <v>10.013199999999999</v>
      </c>
      <c r="E3" s="193">
        <v>10.013199999999999</v>
      </c>
      <c r="F3" s="193">
        <v>10.2605</v>
      </c>
      <c r="G3" s="193">
        <v>11.4682</v>
      </c>
      <c r="H3" s="193">
        <v>12.6297</v>
      </c>
      <c r="I3" s="226" t="s">
        <v>518</v>
      </c>
    </row>
    <row r="4" spans="1:11" x14ac:dyDescent="0.3">
      <c r="B4" s="187" t="s">
        <v>496</v>
      </c>
      <c r="C4" s="190">
        <v>3.48</v>
      </c>
      <c r="D4" s="185">
        <v>3.6</v>
      </c>
      <c r="E4" s="185">
        <v>2.92</v>
      </c>
      <c r="F4" s="185">
        <v>3.47</v>
      </c>
      <c r="G4" s="185">
        <v>5.32</v>
      </c>
      <c r="H4" s="185">
        <v>5.36</v>
      </c>
      <c r="I4" s="185"/>
      <c r="J4" s="201"/>
      <c r="K4" s="201"/>
    </row>
    <row r="5" spans="1:11" x14ac:dyDescent="0.3">
      <c r="B5" s="187" t="s">
        <v>497</v>
      </c>
      <c r="C5" s="190">
        <v>0.75</v>
      </c>
      <c r="D5" s="185">
        <v>0.59</v>
      </c>
      <c r="E5" s="185">
        <v>0.54</v>
      </c>
      <c r="F5" s="185">
        <v>0.84</v>
      </c>
      <c r="G5" s="185">
        <v>0.5</v>
      </c>
      <c r="H5" s="185">
        <v>0.78</v>
      </c>
      <c r="I5" s="185"/>
      <c r="J5" s="201"/>
      <c r="K5" s="201"/>
    </row>
    <row r="6" spans="1:11" x14ac:dyDescent="0.3">
      <c r="A6" s="225"/>
      <c r="B6" s="187" t="s">
        <v>498</v>
      </c>
      <c r="C6" s="188">
        <v>40.15</v>
      </c>
      <c r="D6" s="185">
        <v>40.15</v>
      </c>
      <c r="E6" s="185">
        <v>40.15</v>
      </c>
      <c r="F6" s="185">
        <v>42.12</v>
      </c>
      <c r="G6" s="185">
        <v>43.81</v>
      </c>
      <c r="H6" s="185">
        <v>44.72</v>
      </c>
      <c r="I6" s="185">
        <v>45.61</v>
      </c>
      <c r="J6" s="189"/>
    </row>
    <row r="7" spans="1:11" x14ac:dyDescent="0.3">
      <c r="A7" s="225"/>
      <c r="B7" s="187" t="s">
        <v>499</v>
      </c>
      <c r="C7" s="186" t="s">
        <v>500</v>
      </c>
      <c r="D7" s="185">
        <v>0.75</v>
      </c>
      <c r="E7" s="185">
        <v>0.75</v>
      </c>
      <c r="F7" s="185">
        <v>3</v>
      </c>
      <c r="G7" s="185">
        <v>3</v>
      </c>
      <c r="H7" s="185">
        <v>3</v>
      </c>
      <c r="I7" s="185"/>
      <c r="J7" s="189"/>
    </row>
    <row r="8" spans="1:11" x14ac:dyDescent="0.3">
      <c r="B8" s="187" t="s">
        <v>501</v>
      </c>
      <c r="C8" s="188">
        <v>0.94</v>
      </c>
      <c r="D8" s="185">
        <v>0.94</v>
      </c>
      <c r="E8" s="185">
        <v>0.94</v>
      </c>
      <c r="F8" s="185">
        <v>0.94</v>
      </c>
      <c r="G8" s="185">
        <v>0.94</v>
      </c>
      <c r="H8" s="185">
        <v>1.25</v>
      </c>
      <c r="I8" s="185"/>
    </row>
    <row r="9" spans="1:11" x14ac:dyDescent="0.3">
      <c r="B9" s="187" t="s">
        <v>502</v>
      </c>
      <c r="C9" s="186" t="s">
        <v>500</v>
      </c>
      <c r="D9" s="186" t="s">
        <v>500</v>
      </c>
      <c r="E9" s="186" t="s">
        <v>500</v>
      </c>
      <c r="F9" s="185">
        <v>20</v>
      </c>
      <c r="G9" s="185">
        <v>40</v>
      </c>
      <c r="H9" s="185">
        <v>60</v>
      </c>
      <c r="I9" s="185">
        <v>80</v>
      </c>
    </row>
    <row r="10" spans="1:11" x14ac:dyDescent="0.3">
      <c r="B10" s="187" t="s">
        <v>503</v>
      </c>
      <c r="C10" s="186" t="s">
        <v>500</v>
      </c>
      <c r="D10" s="186" t="s">
        <v>500</v>
      </c>
      <c r="E10" s="186" t="s">
        <v>500</v>
      </c>
      <c r="F10" s="185">
        <v>60</v>
      </c>
      <c r="G10" s="185">
        <v>120</v>
      </c>
      <c r="H10" s="185">
        <v>180</v>
      </c>
      <c r="I10" s="185">
        <v>240</v>
      </c>
    </row>
    <row r="13" spans="1:11" ht="60" customHeight="1" x14ac:dyDescent="0.3">
      <c r="B13" s="334" t="s">
        <v>504</v>
      </c>
      <c r="C13" s="334"/>
      <c r="D13" s="334"/>
      <c r="E13" s="334"/>
      <c r="F13" s="184"/>
      <c r="G13" s="184"/>
      <c r="H13" s="184"/>
      <c r="I13" s="184"/>
    </row>
    <row r="14" spans="1:11" ht="15" customHeight="1" x14ac:dyDescent="0.3">
      <c r="B14" s="222"/>
      <c r="C14" s="222"/>
      <c r="D14" s="222"/>
      <c r="E14" s="222"/>
      <c r="F14" s="184"/>
      <c r="G14" s="184"/>
      <c r="H14" s="184"/>
      <c r="I14" s="184"/>
    </row>
    <row r="15" spans="1:11" s="183" customFormat="1" ht="60" customHeight="1" x14ac:dyDescent="0.2">
      <c r="B15" s="335" t="s">
        <v>505</v>
      </c>
      <c r="C15" s="335"/>
      <c r="D15" s="335"/>
      <c r="E15" s="335"/>
    </row>
    <row r="16" spans="1:11" x14ac:dyDescent="0.3">
      <c r="B16" s="183"/>
      <c r="C16" s="195"/>
      <c r="D16" s="183"/>
      <c r="E16" s="183"/>
    </row>
    <row r="17" spans="2:5" ht="60" customHeight="1" x14ac:dyDescent="0.3">
      <c r="B17" s="335" t="s">
        <v>506</v>
      </c>
      <c r="C17" s="335"/>
      <c r="D17" s="335"/>
      <c r="E17" s="335"/>
    </row>
    <row r="19" spans="2:5" ht="30" customHeight="1" x14ac:dyDescent="0.3">
      <c r="B19" s="335" t="s">
        <v>517</v>
      </c>
      <c r="C19" s="335"/>
      <c r="D19" s="335"/>
      <c r="E19" s="335"/>
    </row>
  </sheetData>
  <mergeCells count="4">
    <mergeCell ref="B13:E13"/>
    <mergeCell ref="B15:E15"/>
    <mergeCell ref="B17:E17"/>
    <mergeCell ref="B19:E19"/>
  </mergeCells>
  <conditionalFormatting sqref="C1:I1">
    <cfRule type="cellIs" dxfId="0" priority="1" operator="lessThan">
      <formula>0</formula>
    </cfRule>
  </conditionalFormatting>
  <pageMargins left="0.7" right="0.7" top="0.75" bottom="0.75" header="0.3" footer="0.3"/>
  <pageSetup orientation="portrait" r:id="rId1"/>
  <ignoredErrors>
    <ignoredError sqref="I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710A6BD7F4464DB064BA31456D2F88" ma:contentTypeVersion="15" ma:contentTypeDescription="Create a new document." ma:contentTypeScope="" ma:versionID="09117738b92640c487977d60fd17aba0">
  <xsd:schema xmlns:xsd="http://www.w3.org/2001/XMLSchema" xmlns:xs="http://www.w3.org/2001/XMLSchema" xmlns:p="http://schemas.microsoft.com/office/2006/metadata/properties" xmlns:ns2="49c96349-abc4-4055-aac5-96659ba84162" xmlns:ns3="07771282-90a1-495b-b3a6-e40fc955e367" targetNamespace="http://schemas.microsoft.com/office/2006/metadata/properties" ma:root="true" ma:fieldsID="fa883e3fad0de9ec77446bcb1185e391" ns2:_="" ns3:_="">
    <xsd:import namespace="49c96349-abc4-4055-aac5-96659ba84162"/>
    <xsd:import namespace="07771282-90a1-495b-b3a6-e40fc955e36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96349-abc4-4055-aac5-96659ba841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152add7-5887-4f90-affc-90feb7f3e72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771282-90a1-495b-b3a6-e40fc955e3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d97ca9-3e06-485c-9931-2738e331611f}" ma:internalName="TaxCatchAll" ma:showField="CatchAllData" ma:web="07771282-90a1-495b-b3a6-e40fc955e36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c96349-abc4-4055-aac5-96659ba84162">
      <Terms xmlns="http://schemas.microsoft.com/office/infopath/2007/PartnerControls"/>
    </lcf76f155ced4ddcb4097134ff3c332f>
    <TaxCatchAll xmlns="07771282-90a1-495b-b3a6-e40fc955e367" xsi:nil="true"/>
  </documentManagement>
</p:properties>
</file>

<file path=customXml/itemProps1.xml><?xml version="1.0" encoding="utf-8"?>
<ds:datastoreItem xmlns:ds="http://schemas.openxmlformats.org/officeDocument/2006/customXml" ds:itemID="{64D26820-C04C-44D5-9789-A309D0514F35}">
  <ds:schemaRefs>
    <ds:schemaRef ds:uri="http://schemas.microsoft.com/sharepoint/v3/contenttype/forms"/>
  </ds:schemaRefs>
</ds:datastoreItem>
</file>

<file path=customXml/itemProps2.xml><?xml version="1.0" encoding="utf-8"?>
<ds:datastoreItem xmlns:ds="http://schemas.openxmlformats.org/officeDocument/2006/customXml" ds:itemID="{8E9D635A-9749-4639-84E2-D78D849A71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c96349-abc4-4055-aac5-96659ba84162"/>
    <ds:schemaRef ds:uri="07771282-90a1-495b-b3a6-e40fc955e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956A3D-52AD-48A9-87C1-9FD41BFBC394}">
  <ds:schemaRefs>
    <ds:schemaRef ds:uri="http://schemas.microsoft.com/office/2006/metadata/properties"/>
    <ds:schemaRef ds:uri="http://schemas.microsoft.com/office/infopath/2007/PartnerControls"/>
    <ds:schemaRef ds:uri="49c96349-abc4-4055-aac5-96659ba84162"/>
    <ds:schemaRef ds:uri="07771282-90a1-495b-b3a6-e40fc955e3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&amp; Notes</vt:lpstr>
      <vt:lpstr>General Fund</vt:lpstr>
      <vt:lpstr>Water Fund</vt:lpstr>
      <vt:lpstr>Sidewalk Fund</vt:lpstr>
      <vt:lpstr>Sewer Fund</vt:lpstr>
      <vt:lpstr>Crouse Marshall Special</vt:lpstr>
      <vt:lpstr>Downtown Special</vt:lpstr>
      <vt:lpstr>Debt Service</vt:lpstr>
      <vt:lpstr>City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Syracuse Budget Workbook</dc:title>
  <dc:subject/>
  <dc:creator>City of Syracuse Department of Audit;Madden, Kyle;Michael Guckert</dc:creator>
  <cp:keywords>Syracuse, budget, workbook, actual, revenue, expense</cp:keywords>
  <dc:description/>
  <cp:lastModifiedBy>Madden, Kyle</cp:lastModifiedBy>
  <cp:revision/>
  <cp:lastPrinted>2025-04-21T14:57:23Z</cp:lastPrinted>
  <dcterms:created xsi:type="dcterms:W3CDTF">2025-04-01T19:24:16Z</dcterms:created>
  <dcterms:modified xsi:type="dcterms:W3CDTF">2025-04-22T15:27:30Z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0x010100ED710A6BD7F4464DB064BA31456D2F88</vt:lpwstr>
  </property>
  <property fmtid="{D5CDD505-2E9C-101B-9397-08002B2CF9AE}" pid="3" name="MediaServiceImageTags">
    <vt:lpwstr/>
  </property>
</Properties>
</file>